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D:\DOCUMENTOS\DISCO D\DOCUMENTOS FINANCIERA 2015-2023\PLAN DE DESAROLLO 2025\2026\"/>
    </mc:Choice>
  </mc:AlternateContent>
  <xr:revisionPtr revIDLastSave="0" documentId="8_{13009855-1581-4C5A-A7F4-B03448A76F59}" xr6:coauthVersionLast="47" xr6:coauthVersionMax="47" xr10:uidLastSave="{00000000-0000-0000-0000-000000000000}"/>
  <bookViews>
    <workbookView xWindow="-120" yWindow="-120" windowWidth="29040" windowHeight="15840" tabRatio="844" firstSheet="1" activeTab="5" xr2:uid="{00000000-000D-0000-FFFF-FFFF00000000}"/>
  </bookViews>
  <sheets>
    <sheet name="1. OPTIMIZAR RECURSOS FINANCIER" sheetId="4" r:id="rId1"/>
    <sheet name="2. IMPACTAR LA SALUD DE LA POBL" sheetId="1" r:id="rId2"/>
    <sheet name="3. NUESTRO EQUIPO, COMPROMISO" sheetId="3" r:id="rId3"/>
    <sheet name="4. DESARROLLO ESTRATEGIAS ENTOR" sheetId="6" r:id="rId4"/>
    <sheet name="5. HUMANIZACIÓN DE LA ATENCIÓN " sheetId="2" r:id="rId5"/>
    <sheet name="6. GESTIÓN DE PROYECTOS" sheetId="5" r:id="rId6"/>
  </sheets>
  <definedNames>
    <definedName name="_xlnm._FilterDatabase" localSheetId="0" hidden="1">'1. OPTIMIZAR RECURSOS FINANCIER'!$A$9:$S$23</definedName>
    <definedName name="_xlnm._FilterDatabase" localSheetId="4" hidden="1">'5. HUMANIZACIÓN DE LA ATENCIÓN '!$A$7:$S$7</definedName>
    <definedName name="_xlnm._FilterDatabase" localSheetId="5" hidden="1">'6. GESTIÓN DE PROYECTOS'!$A$9:$S$23</definedName>
    <definedName name="_xlnm.Print_Titles" localSheetId="4">'5. HUMANIZACIÓN DE LA ATENCIÓN '!$1:$8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5" i="5" l="1"/>
  <c r="V14" i="2"/>
  <c r="V16" i="2"/>
  <c r="V26" i="2"/>
  <c r="V20" i="5"/>
  <c r="V24" i="5"/>
  <c r="V23" i="5"/>
  <c r="V10" i="5"/>
  <c r="V19" i="5"/>
  <c r="V18" i="5"/>
  <c r="V17" i="5"/>
  <c r="V16" i="5"/>
  <c r="V15" i="5"/>
  <c r="V14" i="5"/>
  <c r="V13" i="5"/>
  <c r="V9" i="3"/>
  <c r="V12" i="5"/>
  <c r="V11" i="5"/>
  <c r="V22" i="3"/>
  <c r="V21" i="3"/>
  <c r="V20" i="3"/>
  <c r="V19" i="3"/>
  <c r="V18" i="3"/>
  <c r="V22" i="4"/>
  <c r="V31" i="2"/>
  <c r="V30" i="2"/>
  <c r="V29" i="2"/>
  <c r="V28" i="2"/>
  <c r="V24" i="2"/>
  <c r="V23" i="2"/>
  <c r="V22" i="2"/>
  <c r="V21" i="2"/>
  <c r="V20" i="2"/>
  <c r="V19" i="2"/>
  <c r="V18" i="2"/>
  <c r="V17" i="2"/>
  <c r="V15" i="2"/>
  <c r="V13" i="2"/>
  <c r="V12" i="2"/>
  <c r="V11" i="2"/>
  <c r="V10" i="2"/>
  <c r="V9" i="2"/>
  <c r="V9" i="1"/>
  <c r="V17" i="6"/>
  <c r="V16" i="1"/>
  <c r="V16" i="6"/>
  <c r="V15" i="6"/>
  <c r="V14" i="6"/>
  <c r="V13" i="6"/>
  <c r="V12" i="3" l="1"/>
  <c r="V10" i="3"/>
  <c r="V15" i="3"/>
  <c r="V24" i="3"/>
  <c r="V23" i="3"/>
  <c r="V17" i="3"/>
  <c r="V16" i="3"/>
  <c r="V14" i="3"/>
  <c r="V13" i="3"/>
  <c r="V11" i="3"/>
  <c r="V24" i="4"/>
  <c r="V17" i="1"/>
  <c r="V15" i="1"/>
  <c r="V20" i="1"/>
  <c r="V19" i="1"/>
  <c r="V18" i="1"/>
  <c r="V14" i="1"/>
  <c r="V13" i="1"/>
  <c r="V12" i="1"/>
  <c r="V11" i="1"/>
  <c r="V10" i="1"/>
  <c r="V25" i="4"/>
  <c r="V23" i="4"/>
  <c r="V21" i="4"/>
  <c r="V20" i="4"/>
  <c r="V19" i="4"/>
  <c r="V18" i="4"/>
  <c r="V17" i="4"/>
  <c r="V16" i="4"/>
  <c r="V15" i="4" l="1"/>
  <c r="V14" i="4"/>
  <c r="V13" i="4"/>
  <c r="V12" i="4"/>
  <c r="V11" i="4"/>
  <c r="V10" i="4"/>
  <c r="V27" i="2" l="1"/>
  <c r="V25" i="2"/>
  <c r="V12" i="6"/>
  <c r="V11" i="6"/>
  <c r="V10" i="6"/>
  <c r="V9" i="6"/>
</calcChain>
</file>

<file path=xl/sharedStrings.xml><?xml version="1.0" encoding="utf-8"?>
<sst xmlns="http://schemas.openxmlformats.org/spreadsheetml/2006/main" count="1192" uniqueCount="360">
  <si>
    <t>RESPONSABLE</t>
  </si>
  <si>
    <t>PROYECTO</t>
  </si>
  <si>
    <t>ESTRATEGIA</t>
  </si>
  <si>
    <t>Prestar servicios de salud con atributos de calidad y calidez, garantizando un trato humanizado y un servicio seguro que satisfaga las necesidades de nuestros usuarios.</t>
  </si>
  <si>
    <t>Contar con un talento humano competente, comprometido y satisfecho, como aliado principal para el cumplimiento de los objetivos de la institución, en donde se garantizará la seguridad frente a la labor que desempeñe.</t>
  </si>
  <si>
    <t>Gestionar proyectos que permitan la modernización tecnológica y de la infraestructura de la institución, garantizando la prestación de servicios con estándares de calidad.</t>
  </si>
  <si>
    <t>Asegurar la responsabilidad social y ambiental, contribuyendo al bienestar del usuario, la familia y la comunidad en general.</t>
  </si>
  <si>
    <t>Líder de laboratorio</t>
  </si>
  <si>
    <t>Líder de urgencias y hospitalización</t>
  </si>
  <si>
    <t>Comité de seguridad del paciente</t>
  </si>
  <si>
    <t>Comité de farmacia y terapeutica</t>
  </si>
  <si>
    <t>Comité de historias clínicas</t>
  </si>
  <si>
    <t>Líderes de proceso</t>
  </si>
  <si>
    <t>Comité de historias clinicas</t>
  </si>
  <si>
    <t>Líder de odontología</t>
  </si>
  <si>
    <t>Comunicaciones - Líder de sistemas</t>
  </si>
  <si>
    <t>Supervisores de contrato</t>
  </si>
  <si>
    <t>Comunicaciones</t>
  </si>
  <si>
    <t>INDICADOR</t>
  </si>
  <si>
    <t>Proporción de adherencia a la calidad de la historia clínica</t>
  </si>
  <si>
    <t>Índice de eventos adversos relacionados con el uso de dispositovos médicos</t>
  </si>
  <si>
    <t>Índice de eventos adversos relacionados con el uso de medicamentos</t>
  </si>
  <si>
    <t>Índice de eventos adversos relacionados con el uso de reactivos</t>
  </si>
  <si>
    <t>Proporción de adherencia al consentimiento informado</t>
  </si>
  <si>
    <t>Proporción de ejecución del Plan de participación social en salud</t>
  </si>
  <si>
    <t>Proporción de ejecución de brigadas de salud</t>
  </si>
  <si>
    <t>Promedio de oportunidad en la asignación de citas para consulta médica general.</t>
  </si>
  <si>
    <t>Promedio de oportunidad en la asignación de citas para consulta odontológica general.</t>
  </si>
  <si>
    <t>COMO MEDIR</t>
  </si>
  <si>
    <t>Número de consentimientos informados que cumplen con todos los criterios x 100/ Total consentimientos informados auditados</t>
  </si>
  <si>
    <t>&lt;1%</t>
  </si>
  <si>
    <t>Proporción de eventos adversos gestionados</t>
  </si>
  <si>
    <t>Número de eventos adversos gestionados x 100/ Total eventos adversos reportados</t>
  </si>
  <si>
    <t>Número de criterios cumplidos en la auditoria de histoias clíncas x 100/ Total criterios evaluados</t>
  </si>
  <si>
    <t>Número de actividades ejecutadas del Plan de participación social en salud x 100 / Total actividades programadas</t>
  </si>
  <si>
    <t>Sumatoria de la diferencia de días calendario entre la fecha en la que se asignó la cita de odontología general de primera vez y la fecha en la cual el usuario la solicitó, en la vigencia objeto de la evaluación / Número total de citas de odontología general de primera vez asignadas, en la vigencia objeto de la evaluación.</t>
  </si>
  <si>
    <t>Sumatoria de la diferencia de días calendario entre la fecha en la que se asignó la cita de medicina general de primera vez y la fecha en la cual el usuario la solicitó, en la vigencia objeto de la evaluación / Número total de citas de medicina general de primera vez asignadas, en la vigencia objeto de la evaluación.</t>
  </si>
  <si>
    <t>Número de eventos adversos reportados  relacionados con el uso de reactivos x 100/ Total de pacientes atendidos en el periodo.</t>
  </si>
  <si>
    <t>Número de eventos adversos reportados de farmacovigilancia x 100/ Total de pacientes atendidas en el periodo.</t>
  </si>
  <si>
    <t>Número de eventos adversos reportados de tecnovigilancia  x 100/ Total de pacientes atendidas en el periodo</t>
  </si>
  <si>
    <t>Cobertura de vacunación en niños de 1 año</t>
  </si>
  <si>
    <t xml:space="preserve">ACTIVIDAD/ TAREA </t>
  </si>
  <si>
    <t>Proporción de cumplimiento del plan de bienestar e incentivos.</t>
  </si>
  <si>
    <t>Número de actividades ejecutadas del plan de bienestar e incentivos x 100/ Total actividades programadas.</t>
  </si>
  <si>
    <t>Porcentaje de cumplimiento del plan de Seguridad y salud en el trabajo</t>
  </si>
  <si>
    <t>No. de actividades realizadas en el plan de seguridad y salud en el trabajo X100/ No. de actividades programadas</t>
  </si>
  <si>
    <t>Deuda mayor a un (1) mes por concepto de salarios y contratación de servicios</t>
  </si>
  <si>
    <t>Variación negativa o cero (0)</t>
  </si>
  <si>
    <t>Saldo de deuda mayor a un (1) mes por concepto de salarios y contratación de servicios de la vigencia actual - Saldo de deuda mayor a un (1) mes por concepto de salarios y contratación de servicios de la vigencia anterior</t>
  </si>
  <si>
    <t>Proporción de cumplimiento del Plan institucional de capacitaciones.</t>
  </si>
  <si>
    <t xml:space="preserve">Número de capacitaciones realizadas x100/ Total capacitaciones programadas </t>
  </si>
  <si>
    <t>Proporción de cumplimiento del plan operativo anual de humanización.</t>
  </si>
  <si>
    <t>Número de actividades de humanización ejecutadas  x 100 / Total actividades de humanización programadas.</t>
  </si>
  <si>
    <t>Valor de las glosas definitivas x 100/ Saldo total de facturación del periodo</t>
  </si>
  <si>
    <t>&lt; 1%</t>
  </si>
  <si>
    <t xml:space="preserve">Valor de la ejecución de ingresos totales recaudados en la vigencia (incluye recaudo de CxC de vigencias anteriores) / Valor de la ejecución de gastos comprometidos incluyendo CxP de vigencias anteriores. </t>
  </si>
  <si>
    <t>Valor de la ejecución de ingresos totales reconocidos en la vigencia /  Total de ingresos presupuestados</t>
  </si>
  <si>
    <t>Proporción de cumplimiento de un Plan estratégico de talento humano.</t>
  </si>
  <si>
    <t>Número de proyectos presentados para la gestión de recursos.</t>
  </si>
  <si>
    <t>Sumatoria de proyectos presentados para gestionar recursos de cofinanciación.</t>
  </si>
  <si>
    <t>Proporción de cumplimiento del Plan de mantenimiento de equipos.</t>
  </si>
  <si>
    <t>Número de equipos con mantenimiento x 100 / total equipos programados para mantenimiento.</t>
  </si>
  <si>
    <t>Número de actividades de mantenimiento a la infraestructura realizadas x 100 / total actividades programados para mantenimiento de infraestructura.</t>
  </si>
  <si>
    <t>Proporción de cumplimiento del Plan de aseguramiento metrológico.</t>
  </si>
  <si>
    <t>Número de equipos con calibración en la vigencia x 100 / total equipos programados para calibración en la vigencia.</t>
  </si>
  <si>
    <t>Plan institucional de archivos formulado y en ejecución</t>
  </si>
  <si>
    <t>Plan de seguridad y privacidad de la información formulado y en ejecución</t>
  </si>
  <si>
    <t>Plan de manejo de riesgos de seguridad y privacidad de la información formulado y en ejecución</t>
  </si>
  <si>
    <t>Plan anual de adquisiciones formulado y ejecutado</t>
  </si>
  <si>
    <t>Proporción de satisfacción global del usuario</t>
  </si>
  <si>
    <t>Número de usuarios satisfechos x 100 / Total usuarios encuestados</t>
  </si>
  <si>
    <t>Número de actividades cumplidas del plan para la gestión de residuos hospitalarios x 100/ Total actividades programadas</t>
  </si>
  <si>
    <t>Proporción de ejecución del plan para la gestión de residuos hospitalarios</t>
  </si>
  <si>
    <t>Proporción de ejecución del plan institucional de comunicaciones</t>
  </si>
  <si>
    <t>Número de acciones de comunicación ejecutadas x 100/ Total acciones programadas</t>
  </si>
  <si>
    <t>Número de brigadas de brigadas de salud realizadas x 100/ total brigadas de salud programadas</t>
  </si>
  <si>
    <t>Plan estratégico de tecnologías de la información formulado y en ejecución</t>
  </si>
  <si>
    <t>Proporción de cumplimiento del plan de implementación de una guía de práctica clínica priorizada.</t>
  </si>
  <si>
    <t>Proporción de cumplimiento de requisitos de legalidad en la contratación</t>
  </si>
  <si>
    <t>Número de contratos que cumplen los requisitos de legalidad x 100/ total contratos suscritos y reportados al organismo de control</t>
  </si>
  <si>
    <t>Proporción de exámenes cancelados</t>
  </si>
  <si>
    <t>Número de exámenes cancelados x 100/ Total de exámenes ordenados</t>
  </si>
  <si>
    <r>
      <rPr>
        <u/>
        <sz val="10"/>
        <color theme="1"/>
        <rFont val="Arial"/>
        <family val="2"/>
      </rPr>
      <t>&gt;</t>
    </r>
    <r>
      <rPr>
        <sz val="10"/>
        <color theme="1"/>
        <rFont val="Arial"/>
        <family val="2"/>
      </rPr>
      <t xml:space="preserve"> 70%</t>
    </r>
  </si>
  <si>
    <r>
      <rPr>
        <u/>
        <sz val="10"/>
        <color theme="1"/>
        <rFont val="Arial"/>
        <family val="2"/>
      </rPr>
      <t>&gt;</t>
    </r>
    <r>
      <rPr>
        <sz val="10"/>
        <color theme="1"/>
        <rFont val="Arial"/>
        <family val="2"/>
      </rPr>
      <t xml:space="preserve"> 80%</t>
    </r>
  </si>
  <si>
    <r>
      <rPr>
        <u/>
        <sz val="10"/>
        <color theme="1"/>
        <rFont val="Arial"/>
        <family val="2"/>
      </rPr>
      <t>&gt;</t>
    </r>
    <r>
      <rPr>
        <sz val="10"/>
        <color theme="1"/>
        <rFont val="Arial"/>
        <family val="2"/>
      </rPr>
      <t>90%</t>
    </r>
  </si>
  <si>
    <r>
      <rPr>
        <u/>
        <sz val="10"/>
        <color theme="1"/>
        <rFont val="Arial"/>
        <family val="2"/>
      </rPr>
      <t>&gt;</t>
    </r>
    <r>
      <rPr>
        <sz val="10"/>
        <color theme="1"/>
        <rFont val="Arial"/>
        <family val="2"/>
      </rPr>
      <t>80%</t>
    </r>
  </si>
  <si>
    <r>
      <rPr>
        <u/>
        <sz val="10"/>
        <color theme="1"/>
        <rFont val="Arial"/>
        <family val="2"/>
      </rPr>
      <t>&gt;</t>
    </r>
    <r>
      <rPr>
        <sz val="10"/>
        <color theme="1"/>
        <rFont val="Arial"/>
        <family val="2"/>
      </rPr>
      <t xml:space="preserve"> 90%</t>
    </r>
  </si>
  <si>
    <r>
      <rPr>
        <u/>
        <sz val="10"/>
        <color theme="1"/>
        <rFont val="Arial"/>
        <family val="2"/>
      </rPr>
      <t>&lt;</t>
    </r>
    <r>
      <rPr>
        <sz val="10"/>
        <color theme="1"/>
        <rFont val="Arial"/>
        <family val="2"/>
      </rPr>
      <t xml:space="preserve"> 2%</t>
    </r>
  </si>
  <si>
    <r>
      <rPr>
        <u/>
        <sz val="10"/>
        <color theme="1"/>
        <rFont val="Arial"/>
        <family val="2"/>
      </rPr>
      <t>&lt;</t>
    </r>
    <r>
      <rPr>
        <sz val="10"/>
        <color theme="1"/>
        <rFont val="Arial"/>
        <family val="2"/>
      </rPr>
      <t xml:space="preserve"> 3 días</t>
    </r>
  </si>
  <si>
    <r>
      <rPr>
        <u/>
        <sz val="10"/>
        <color theme="1"/>
        <rFont val="Arial"/>
        <family val="2"/>
      </rPr>
      <t>&gt;</t>
    </r>
    <r>
      <rPr>
        <sz val="10"/>
        <color theme="1"/>
        <rFont val="Arial"/>
        <family val="2"/>
      </rPr>
      <t xml:space="preserve"> 0,91</t>
    </r>
  </si>
  <si>
    <r>
      <rPr>
        <u/>
        <sz val="10"/>
        <color theme="1"/>
        <rFont val="Arial"/>
        <family val="2"/>
      </rPr>
      <t>&gt;</t>
    </r>
    <r>
      <rPr>
        <sz val="10"/>
        <color theme="1"/>
        <rFont val="Arial"/>
        <family val="2"/>
      </rPr>
      <t>1</t>
    </r>
  </si>
  <si>
    <t>Número de niños de 1 año con esquena de vacunación completo para la edad x100/ Meta programática.</t>
  </si>
  <si>
    <t>Número de actividades cumplidos en el plan de implementación de la guía de práctica clínica priorizada x 100/ Total actividades programadas.</t>
  </si>
  <si>
    <t>ACTIVIDAD</t>
  </si>
  <si>
    <t>Número de actividades del Plan estratégico de talento humano cumplidas x100/ Total  de actividades del Plan estratégico de talento humano programadas.</t>
  </si>
  <si>
    <t>Proporción de glosas definitivas a la facturación.</t>
  </si>
  <si>
    <t>Equilibrio presupuestal con recaudo.</t>
  </si>
  <si>
    <t>Proporción de ejecución presupuestal de  ingresos con reconocimiento.</t>
  </si>
  <si>
    <t>Plan anual de adquisiciones formulado y ejecutado.</t>
  </si>
  <si>
    <t>Plan institucional de archivos formulado y en ejecución.</t>
  </si>
  <si>
    <t>Plan estratégico de tecnologías de la información formulado y en ejecución.</t>
  </si>
  <si>
    <t>Plan de manejo de riesgos de seguridad y privacidad de la información formulado y en ejecución.</t>
  </si>
  <si>
    <t>Plan de seguridad y privacidad de la información formulado y en ejecución.</t>
  </si>
  <si>
    <t>Proporción de cumplimiento del Plan de mantenimiento de la infraestructura.</t>
  </si>
  <si>
    <t>OPTIMIZAR RECURSOS FINANCIEROS Y CONTENER COSTOS EN SERVICIOS DE SALUD.</t>
  </si>
  <si>
    <t>Fortalecer la eficiencia y eficacia en la gestión de los recursos financieros, que permitan la sostenibilidad financiera y la competitividad de la E.S.E.</t>
  </si>
  <si>
    <t>OBJETIVO DEL EJE ESTRATÉGICO</t>
  </si>
  <si>
    <t>EJE ESTRATÉGICO No. 1.</t>
  </si>
  <si>
    <t>GESTIÓN DE FACTURACIÓN Y GLOSAS</t>
  </si>
  <si>
    <t>Garantizar el proceso de facturación oportuno y efectivo, que facilite el flujo de recursos para la institución.</t>
  </si>
  <si>
    <t>GESTIÓN DE CARTERA</t>
  </si>
  <si>
    <t>Garantizar un flujo de recursos adecuado a través de la gestión de cartera con las diferentes aseguradoras.</t>
  </si>
  <si>
    <t>SEGUIMIENTO PRESUPUESTAL</t>
  </si>
  <si>
    <t>PLAN ANUAL DE ADQUISICIONES</t>
  </si>
  <si>
    <t>Proyectar el presupuesto anual para la institución y garantizar la ejecución del mismo de acuerdo con la planeación.</t>
  </si>
  <si>
    <t>Realizar auditoria y seguimiento permanente a la facturación previo a la radicación ante al aseguradora.</t>
  </si>
  <si>
    <t>Retroalimentar al personal sobre los hallazgos de las auditorias establecer los planes de mejora pertinentes.</t>
  </si>
  <si>
    <t>Realizar seguimiento a los contratos con las aseguradoras y realizar las parametrizaciones necesarias para el adecuado cobro.</t>
  </si>
  <si>
    <t>Generar oportunamente las facturas de acuerdo con los servicios prestados y los contratos definidos con las aseguradoras y radicar las mismas dentro de los tiempos definidos.</t>
  </si>
  <si>
    <t>Gestionar oportunamente las glosas y devoluciones identificadas, y definir planes de mejora frente a las glosas originadas por causas institucionales.</t>
  </si>
  <si>
    <t>Realizar la circularización continua de la cartera con las diferentes aseguradoras y cumplir con los compromisos adquiridos en las conciliaciones que se realicen.</t>
  </si>
  <si>
    <t>Realizar la legalización oportuna de los pagos de acuerdo con la información suministrada por las aseguradoras.</t>
  </si>
  <si>
    <t>Definir e implementar el procedimiento para el cobro de cartera a particular e iniciar cobro persuasivo y coactivo.</t>
  </si>
  <si>
    <t>Realizar conciliación de cartera con las aseguradoras y depurar la información de acuerdo con los cruces realizados.</t>
  </si>
  <si>
    <t>Realizar el presupuesto anual ajustado a los objetivos institucionales.</t>
  </si>
  <si>
    <t>Hacer seguimiento al presupuesto y a las ejecuciones mensuales de acuerdo con lo proyectado, realizar los ajustes pertinentes de acuerdo con la operación.</t>
  </si>
  <si>
    <t>Formular, publicar, ejecutar y evaluar un Plan anual de adquisiciones para la vigencia.</t>
  </si>
  <si>
    <t>Actualizar por lo menos una vez el Plan anual de adquisiciones de la vigencia y publicarlo.</t>
  </si>
  <si>
    <t>IMPACTAR LA SALUD DE LA POBLACIÓN MEDIANTE LA PRESTACIÓN DE SERVICIOS DE CALIDAD.</t>
  </si>
  <si>
    <t>Optimizar la Eficiencia Operativa y la Calidad de la Atención.</t>
  </si>
  <si>
    <t>Realizar la matriz de estimaciones programáticas con base de datos de EPS, garantizar el seguimiento trimestral en comité.</t>
  </si>
  <si>
    <t>Definir un plan de trabajo que garantice el cumplimiento a las estimaciones proyectadas, en la ejecución de las actividades intra y extramural.</t>
  </si>
  <si>
    <t>FORTALECIMIENTO PROGRAMAS DE PROTECCIÓN ESPECIFICA Y DETECCIÓN TEMPRANA</t>
  </si>
  <si>
    <t>Garantizar la planeación adecuada para el cumplimiento de las metas institucionales frente a los programas de PEDT.</t>
  </si>
  <si>
    <t>Definir planes de mejoramiento derivados de las auditorias externas y garantizar su ejecución y seguimiento.</t>
  </si>
  <si>
    <t>PROMOVER EL DESARROLLO INTEGRAL DEL TALENTO HUMANO</t>
  </si>
  <si>
    <t>EJE ESTRATÉGICO No. 3</t>
  </si>
  <si>
    <t>OPORTUNIDAD EN LOS PAGOS DE PERSONAL</t>
  </si>
  <si>
    <t>Garantiza la generación de nomina y prestaciones sociales a fin de realizar los pagos mensuales de manera oportuna y correcta.</t>
  </si>
  <si>
    <t>SISTEMA DE SEGURIDAD Y SALUD EN EL TRABAJO</t>
  </si>
  <si>
    <t>FORTALECIMIENTO DE CLIMA LABORAL</t>
  </si>
  <si>
    <t>Disponer de la planeación y mecanismos necesarios que garanticen la implementación, mantenimiento y seguimiento al Sistema de Seguridad y Salud en el Trabajo.</t>
  </si>
  <si>
    <t>Fortalecer la satisfacción del cliente interno y por ende la fidelización del mismo con la institución.</t>
  </si>
  <si>
    <t>Elaborar, implementar y hacer seguimiento del plan de trabajo anual del SG- SST</t>
  </si>
  <si>
    <t>Elaborar, implementar y hacer seguimiento al programa de bienestar social.</t>
  </si>
  <si>
    <t>Formular, implementar y hacer seguimiento al plan de mejoramiento según los resultados de la evaluación de clima laboral y/o riesgo psicosocial.</t>
  </si>
  <si>
    <t>Garantizar la evaluación de competencias del personal de acuerdo al servicio al que pertenezca, para mejorar la idoneidad en la prestación del servicio.</t>
  </si>
  <si>
    <t>Acompañar el proceso de evaluación de desempeño de los funcionarios y la elaboración de planes de mejoramiento según necesidad.</t>
  </si>
  <si>
    <t>Proyectar cronograma de inducción para personal nuevo, y garantizar su ejecución periódica.</t>
  </si>
  <si>
    <t>Programar y ejecutar jornadas de reinducción según temáticas priorizadas desarrollando metodologías lúdicas de interacción con el personal.</t>
  </si>
  <si>
    <t>Garantizar la formulación y el cumplimiento del plan de capacitaciones institucional.</t>
  </si>
  <si>
    <t>Garantizar las competencias acorde con los requerimientos del Sistema obligatorio de Garantía de la calidad en salud.</t>
  </si>
  <si>
    <t>Garantizar que el personal adquiera los conocimientos básicos de la Institución y las normas que apliquen para la adecuada prestación del servicio.</t>
  </si>
  <si>
    <t>Asegurar la prestación de servicios a los usuarios con criterios de calidez y humanización, que garanticen la satisfacción de las necesidades de todos los grupos de interés.</t>
  </si>
  <si>
    <t>Definir la política de humanización de la institución, y garantizar su implementación.</t>
  </si>
  <si>
    <t>Definir el programa y plan de trabajo de humanización, garantizar la implementación y mantenimiento.</t>
  </si>
  <si>
    <t>ASEGURAMIENTO DE COMPETENCIAS PARA LA CALIDAD EN LA ATENCIÓN</t>
  </si>
  <si>
    <t>Garantizar la formulación y ejeución del Plan estratégico de talento humano.</t>
  </si>
  <si>
    <t>Formular, ejecutar y evaluar un Plan estratégico de talento humano.</t>
  </si>
  <si>
    <t>Formular, ejecutar y evaluar los demás planes relacionados con el Plan estratégico de talento humano, incluyendo Plan de vacantes y Plan de previsión del recurso humano.</t>
  </si>
  <si>
    <t>Garantizar el reconocimiento oportuno de las prestaciones sociales y honorarios al personal de la institución, procesos tercerizados y contratistas.</t>
  </si>
  <si>
    <t>DESARROLLAR ESTRATEGIAS QUE REPERCUTAN POSITIVAMENTE EN EL ENTORNO.</t>
  </si>
  <si>
    <t>ENTORNO LABORAL ADECUADO</t>
  </si>
  <si>
    <t>GESTIÓN DE PROVEEDORES</t>
  </si>
  <si>
    <t>COMPROMISO CON EL MEDIO AMBIENTE</t>
  </si>
  <si>
    <t>Fortalecer un entorno laboral adecuado para la prestación del servicio, que impacte en el bienestar del cliente interno y  externo.</t>
  </si>
  <si>
    <t>Validar el cumplimientos de los requisitos por parte de los proveedores, garantizando la fidelización y compromiso con la institución.</t>
  </si>
  <si>
    <t>Generar estrategias institucionales que garanticen la protección del medio ambiente en el desarrollo de las actividades propias de cada servicio.</t>
  </si>
  <si>
    <t>Definir y desarrollar un cronograma para la implementación de la metodología de las 5 S y proporcionar un ambiente agradable para los usuarios.</t>
  </si>
  <si>
    <t>Realizar los procesos contractuales con los proveedores de acuerdo con las condiciones normativas y las necesidades de cada servicio.</t>
  </si>
  <si>
    <t>Realizar seguimiento al cumplimiento de las obligaciones contractuales y establecer planes de mejora en los casos en que aplique.</t>
  </si>
  <si>
    <t>Programar visitas a los proveedores en los casos en que aplique, priorizando según requisitos de habilitación, y realizar las retroalimentaciones y seguimientos de acuerdo con los hallazgos identificados.</t>
  </si>
  <si>
    <t>Realizar plan de trabajo que garantice la continuidad del reconocimiento líder progresa para la institución.</t>
  </si>
  <si>
    <t>Definir estrategias para la gestión adecuada de los recursos ambientales en la ejecución de las actividades de la institución.</t>
  </si>
  <si>
    <t>Definir, implementar y hacer seguimiento a plan de comunicaciones externas de acuerdo con las necesidades de la comunidad y de la institución.</t>
  </si>
  <si>
    <t>Mantener actualizada la pagina web de acuerdo con los criterios normativos, garantizando las condiciones de acceso para los grupos de interés.</t>
  </si>
  <si>
    <t>Dar respuesta oportuna a los requerimientos presentados por los diferentes grupos de interés, y realizar las gestiones pertinentes frente a las necesidades o inquietudes presentadas.</t>
  </si>
  <si>
    <t>COMUNICACIÓN ASERTIVA CON LA COMUNIDAD</t>
  </si>
  <si>
    <t>Garantizar la entrega oportuna y efectiva de información a la comunidad y los grupos de interés, a través del uso adecuado de los recursos con que se cuenta.</t>
  </si>
  <si>
    <t>EJE ESTRATÉGICO No. 4</t>
  </si>
  <si>
    <t>EJE ESTRATÉGICO No. 2</t>
  </si>
  <si>
    <t>HUMANIZACIÓN DE LA ATENCIÓN EN SALUD</t>
  </si>
  <si>
    <t>EJE ESTRATÉGICO No. 5</t>
  </si>
  <si>
    <t>SEGURIDAD DEL PACIENTE</t>
  </si>
  <si>
    <t>Realizar procesos de auditoria al diligenciamiento de las historias clínicas de enfermería.</t>
  </si>
  <si>
    <t>Realizar procesos de auditoria a los consentimientos informados médicos.</t>
  </si>
  <si>
    <t xml:space="preserve">Realizar procesos de auditoria a los procedimientos de enfermería y consentimientos informados de acuerdo con los protocolos institucionales. </t>
  </si>
  <si>
    <t>Planear, implementar y hacer seguimiento al programa de seguridad de paciente de la institución.</t>
  </si>
  <si>
    <t>Establecer los planes de mejoramiento derivados de los seguimiento y auditorias del programa de seguridad del paciente.</t>
  </si>
  <si>
    <t>Garantizar la seguridad del paciente en todos los procesos de atención de la institución</t>
  </si>
  <si>
    <t>Definir e implementar y realizar seguimiento al programa de reactivovigilancia en la institución.</t>
  </si>
  <si>
    <t>Planear, implementar, y hacer seguimiento al programa de farmacovigilancia institucional, garantizando la adherencia a los requerimientos normativos.</t>
  </si>
  <si>
    <t>Planear, implementar, y hacer seguimiento al programa de tecnovigilancia institucional, garantizando la adherencia a los requerimientos normativos.</t>
  </si>
  <si>
    <t>Garantizar el proceso de implementación de guias de practica clinica de acuerdo con el perfil epidemiologico de la institución y de cada servicio.</t>
  </si>
  <si>
    <t>Realizar auditorias de historia clinica para verificar adherencia a las guias de practica clinica implementadas.</t>
  </si>
  <si>
    <t>Garantizar la implementación y seguimiento al programa de radiovigilancia institucional.</t>
  </si>
  <si>
    <t>Gestionar la actualización de software de laboratorio clínico con el fin de garantizar el acceso a los resultados por pagina web para los usuarios.</t>
  </si>
  <si>
    <t>Actualizar el portafolio de servicios de laboratorio clinico e implementar estrategias que permitan aumentar las ventas a particulares</t>
  </si>
  <si>
    <t>Realizar analisis de costos  de pruebas de laboratorio de mediana complejidad que puedan ser procesadas en la institución, para garantizar mayor oportunidad y disminución de los costos de remisión</t>
  </si>
  <si>
    <t>Definir, implementar y hacer seguimiento al procedimiento de programación de agendas en la institución</t>
  </si>
  <si>
    <t>Mejorar los criterios de accesibilidad a los servicios de la institución.</t>
  </si>
  <si>
    <t>FORTALECIMIENTO DE LOS PROCESOS DE ATENCIÓN GARANTIZANDO LOS CRITERIOS DE CALIDAD</t>
  </si>
  <si>
    <t>Actualizar el portafolio del servicio de odontología  e implementar estrategias que permitan aumentar las ventas a particulares.</t>
  </si>
  <si>
    <t>Fortalecer  el sistema de información y atención al usuario, como mecanismo que permita mejorar la prestación del servicio y la percepción de los usuarios</t>
  </si>
  <si>
    <t xml:space="preserve">Realizar seguimiento a las principales causas de quejas presentadas por los usuarios y definir planes de mejoramiento que garanticen disminución en los factores de afecten la satisfacción. </t>
  </si>
  <si>
    <t>Actualizar el procedimiento para la aplicación y seguimiento  de las encuestas de satisfacción, buscando mayor efectividad en los resultados que permitan definir acciones de mejora frente a la prestación del servicio.</t>
  </si>
  <si>
    <t>Garantizar la ejecución del plan de acción de la política de participación en salud, de acuerdo con los lineamientos normativos.</t>
  </si>
  <si>
    <t>Definir estrategias que permitan el fortalecimiento y operatividad de la asociación de usuarios frente a los requerimientos de la normatividad vigente.</t>
  </si>
  <si>
    <t>GESTIÓN DE PROYECTOS</t>
  </si>
  <si>
    <t>Gestionar proyectos para la renovación de la infraestructura de la institución que garantice la prestación de servicios seguros y ajustados a los criterios normativos.</t>
  </si>
  <si>
    <t>Presentar los proyectos documentados y hacer el seguimiento pertinente que permita su aprobación.</t>
  </si>
  <si>
    <t>Definir plan de mantenimiento preventivo de infraestructura y equipos biomédicos de la vigencia, de acuerdo con las  necesidades de la institución.</t>
  </si>
  <si>
    <t>Garantizar la implementación y seguimiento a las actividades programadas en el plan de mantenimiento preventivo y establecer los planes de mejora en caso de presentar incumplimientos.</t>
  </si>
  <si>
    <t>Actualizar las hojas de vida de los equipos de la institución de acuerdo con los mantenimientos y calibraciones realizadas.</t>
  </si>
  <si>
    <t>GESTIÓN DE LA INFRAESTRUCTURA Y LA TECONOLOGÍA</t>
  </si>
  <si>
    <t>Dar continuidad a las estrategias de mejoramiento y mantenimiento de la Infraestructura y la tecnología de la institución.</t>
  </si>
  <si>
    <t>Realizar adecuaciones en la infraestructura que garanticen la accesibilidad y calidad en la atención.</t>
  </si>
  <si>
    <t>GESTIÓN DE LOS SITEMAS DE INFORMACIÓN</t>
  </si>
  <si>
    <t>Asegurar el funcionamiento adecuado de los sistemas de información de la institución, a través del fortalecimiento de las herramientas tecnológicas e implementación de la politica de seguridad de la información.</t>
  </si>
  <si>
    <t>Formular, ejecutar y evaluar un Plan de seguridad y privacidad de la información.</t>
  </si>
  <si>
    <t>Formular, ejecutar y evaluar un Plan para manejo de riesgos de seguridad y privacidad de la información.</t>
  </si>
  <si>
    <t>Realizar seguimiento a los planes para la seguridad y privacidad de la información.</t>
  </si>
  <si>
    <t>Formular, ejecutar y evaluar un Plan estratégico de tecnologías de la información.</t>
  </si>
  <si>
    <t>Fortalecer el uso adecuado de las plataformas del sistema de información como pagina web, intranet, correos electrónicos, moodle, entre otros, y garantizar la actualización de los mismos en los casos en que aplique.</t>
  </si>
  <si>
    <t>Renovar la tecnología de la planta telefónica, para mejorar la accesibilidad de los usuarios y comunicación en la institución.</t>
  </si>
  <si>
    <t>Formular, ejecutar y evaluar un Plan institucional de archivos.</t>
  </si>
  <si>
    <t>Definir el plan de trabajo de gestión documental, garantizar la implementación y seguimiento.</t>
  </si>
  <si>
    <t>Documentar los procesos y procedimientos institucionales, garantizando la estandarización, adherencia y continuidad; según la normatividad vigente y los diferentes sistemas de gestión que apliquen a la institución.</t>
  </si>
  <si>
    <t>EJE ESTRATÉGICO No. 6</t>
  </si>
  <si>
    <t>[(Gasto comprometido en el año objeto de la evaluación, sin incluir cuentas por pagar/Número de UVR producidas en la vigencia)/(Gasto comprometido en la vigencia anterior - en valores constantes del año objeto de evaluación- , sin incluir cuentas por pagar/Número UVR producidas en la vigencia anterior)]</t>
  </si>
  <si>
    <t>Evolución del Gasto por Unidad de Valor Relativo producida</t>
  </si>
  <si>
    <t>CONTROLAR COSTOS Y GASTOS</t>
  </si>
  <si>
    <t>Mantener una sostenibilidad económica y presupuestal con equilibrio financiero</t>
  </si>
  <si>
    <t xml:space="preserve">Realizar seguimiento a la ejecución de gastos de funcionamiento y de operación comercial y prestación de servicios y tomar medidas según resultados. </t>
  </si>
  <si>
    <t>Proporción de compra de medicamentos a través de mecanismos electrónicos, compras conjuntas o a cooperativa de hospitales.</t>
  </si>
  <si>
    <t>&gt;= 0,70</t>
  </si>
  <si>
    <t>Adquisiciones realizadas  /Total de las adquisiciones programadas en el periodo x 100</t>
  </si>
  <si>
    <t>PROPORCIÓN DE MEDICAMENTOS Y MATERIAL MÉDICO-QUIRÚRGICO</t>
  </si>
  <si>
    <t>Priorizar la adquisición de medicamentos y material médico quirúrgico a través de la compra a cooperativa de hospitales.</t>
  </si>
  <si>
    <t>Buscar la eficiencia y transparencia en la contratación, adquisicion y compras de la ESE con economía de escala, calidad, oportunidad y eficiencia.</t>
  </si>
  <si>
    <t>Número de informes de análisis de la prestación de servicios de la ESE presentados a la Junta Directiva con base en RIPS de la vigencia objeto de evaluación.</t>
  </si>
  <si>
    <t>Cumplimiento la presentación de informes basados en RIPS a la Junta Directiva.</t>
  </si>
  <si>
    <t>&gt; 4</t>
  </si>
  <si>
    <t>Elaborar y presentar a la Junta Directiva el informe de producción con base en RIPS.</t>
  </si>
  <si>
    <t>Generar conocimiento sobre la situación de salud de la población y orientar de manera efectiva nuestra oferta de servicios</t>
  </si>
  <si>
    <t>Oportunidad en la entrega del reporte de información en cumplimiento de la Circular Única expedida por la Superintendencia Nacional de Salud o la norma que la sustituya</t>
  </si>
  <si>
    <t>Proporción de cumplimiento del reporte</t>
  </si>
  <si>
    <t>CUMPLE</t>
  </si>
  <si>
    <t>Realizar la presentación de informes a la Superintendencia Nacional de Salud, en los términos establecidos por la normatividad vigente.</t>
  </si>
  <si>
    <t>Realizar entrega del reporte de información en cumplimiento de la Circular Única expedida por la Superintendencia Nacional de Salud o la norma que la sustituya</t>
  </si>
  <si>
    <t>Oportunidad en el reporte de información en cumplimiento del Decreto 2193 de 2004 o la norma que la sustituya</t>
  </si>
  <si>
    <t xml:space="preserve">Realizar la presentación de informes exigidos por el
Decreto 2193 del 2004, al sistema de Gestión de Hospitales Públicos.
</t>
  </si>
  <si>
    <t>Realizar la presentación de informes exigidos por el
Decreto 2193 del 2004, al sistema de Gestión de Hospitales Públicos.</t>
  </si>
  <si>
    <t>&gt;</t>
  </si>
  <si>
    <t xml:space="preserve">Evaluación de aplicación de guía de manejo específico para hemorragias III trimestre o trastornos hipertensivos
gestantes
</t>
  </si>
  <si>
    <t>FORTALECIMIENTO EN LA PRESTACIÓN DEL SERVICIO</t>
  </si>
  <si>
    <t xml:space="preserve">Número de historias clínicas auditadas, que hacen parte de la muestra representativa, con aplicación estricta de la guía de manejo específica para hemorragias de III trimestre o trastorno hipertensivo en la gestación, en la vigencia objeto de la evaluación
/ total de historias clínicas auditadas de la muestra representativa de gestantes con edad gestacional mayor a 27 semanas con
diagnóstico de hemorragia de III trimestre o trastorno hipertensivo en la gestación, en la vigencia objeto de evaluación.
</t>
  </si>
  <si>
    <t>Realizar evaluación de aplicación de guía de manejo específico para hemorragias III trimestre o trastornos hipertensivos
gestantes</t>
  </si>
  <si>
    <t>Realizar evaluación de aplicación de guía de manejo específico para hemorragias III trimestre o trastornos hipertensivos gestantes</t>
  </si>
  <si>
    <t>&gt;=0.8</t>
  </si>
  <si>
    <t>Proporción de historias clínicas con aplicación estricta de la guía de manejo de la primera causa de egreso hospitalario o de morbilidad atendida</t>
  </si>
  <si>
    <t xml:space="preserve">Número de historias clínicas auditadas que hacen parte de la muestra representativa con aplicación estricta de la guía de manejo adoptada por La ESE, de la primera causa de egreso hospitalario o de morbilidad atendida en la vigencia objeto de evaluación / total de historias clínicas auditadas de la muestra representativa de pacientes con el diagnóstico de la primera causa
de egreso hospitalario o de morbilidad atendida en la vigencia objeto de evaluación.
</t>
  </si>
  <si>
    <t>Líder de urgencias</t>
  </si>
  <si>
    <t>Realizar evaluación de la proporción de historias clínicas con aplicación estricta de la guía de manejo de la primera causa de egreso hospitalario o de morbilidad atendida.</t>
  </si>
  <si>
    <t xml:space="preserve">Número de pacientes con diagnóstico de apendicitis al egreso a quienes se realizó la apendicectomía, dentro de las seis horas de confirmado el diagnóstico en la vigencia objeto de la evaluación / total de pacientes con diagnóstico de apendicitis al egreso en la
vigencia objeto de evaluación.
</t>
  </si>
  <si>
    <t>&gt;=90%</t>
  </si>
  <si>
    <t>Proporción de pacientes con diagnóstico de apendicitis a quienes se les realizó apendicectomía, dentro de las seis horas de confirmado el diagnóstico.</t>
  </si>
  <si>
    <t>Realizar evaluación de la proporción de pacientes con diagnóstico de apendicitis a quienes se les realizó apendicectomía, dentro de las seis horas de confirmado el diagnóstico.</t>
  </si>
  <si>
    <t xml:space="preserve">Número de pacientes pediátricos con neumonías bronco-
aspirativas de origen intrahospitalario y variación interanual
</t>
  </si>
  <si>
    <t xml:space="preserve">Número de pacientes pediátricos con neumonías bronco- aspirativas de origen intrahospitalario en la vigencia objeto de la evaluación / número de pacientes pediátricos con neumonías bronco-aspirativas de origen intrahospitalario en la vigencia
anterior.
</t>
  </si>
  <si>
    <t>Realizar evaluación del Número de pacientes pediátricos con neumonías bronco-
aspirativas de origen intrahospitalario y variación interanual</t>
  </si>
  <si>
    <t xml:space="preserve">Proporción de pacientes con diagnóstico infarto agudo de miocardio a quien se le inició terapia específica dentro de la
primera hora posterior a la realización del diagnóstico.
</t>
  </si>
  <si>
    <t xml:space="preserve">Número de pacientes con diagnóstico de egreso de infarto agudo de miocardio a quienes se inició la terapia específica dentro de la primera hora posterior a la realización del diagnóstico / total de pacientes con diagnóstico de egreso de infarto agudo de
miocardio en la vigencia.
</t>
  </si>
  <si>
    <t>&gt;=0,9</t>
  </si>
  <si>
    <t>Realizar evaluación de la proporción de pacientes con diagnóstico infarto agudo de miocardio a quien se le inició terapia específica dentro de la
primera hora posterior a la realización del diagnóstico.</t>
  </si>
  <si>
    <t>Análisis de mortalidad intrahospitalaria</t>
  </si>
  <si>
    <t>Número de casos de mortalidad intrahospitalaria mayor de 48 horas, revisada en el comité respectivo / total de defunciones intrahospitalarias mayores de 48 horas en el período.</t>
  </si>
  <si>
    <t>Realizar análisis de mortalidad intrahospitalaria</t>
  </si>
  <si>
    <t>Realizar análisis del número de casos de mortalidad intrahospitalaria mayor de 48 horas, revisada en el comité respectivo / total de defunciones intrahospitalarias mayores de 48 horas en el período.</t>
  </si>
  <si>
    <t>Tiempo promedio de espera para la asignación de cita de pediatría.</t>
  </si>
  <si>
    <t xml:space="preserve">Sumatoria total de los días calendario transcurridos entre la fecha en la cual el paciente solicita cita, por cualquier medio, para ser atendido en la consulta médica pediátrica, y la fecha para la cual es asignada la cita / número total de consultas médicas
pediátricas.
</t>
  </si>
  <si>
    <t>&lt;=5 días</t>
  </si>
  <si>
    <t>Realizar análisis del tiempo promedio de espera para la asignación de cita de pediatría.</t>
  </si>
  <si>
    <t>Realizar análisis de la sumatoria total de los días calendario transcurridos entre la fecha en la cual el paciente solicita cita, por cualquier medio, para ser atendido en la consulta médica pediátrica, y la fecha para la cual es asignada la cita / número total de consultas médicas
pediátricas.</t>
  </si>
  <si>
    <t>Tiempo promedio de espera para la asignación de cita de Obstetricia.</t>
  </si>
  <si>
    <t xml:space="preserve">Sumatoria total de los días calendario transcurridos entre la fecha en la cual el paciente solicita cita, por cualquier medio, para ser atendido en la consulta médica obstétrica y la fecha para la cual es asignada la cita / número total de consultas médicas
obstétricas.
</t>
  </si>
  <si>
    <t>&lt;=8 días</t>
  </si>
  <si>
    <t>Realizar análisis del tiempo promedio de espera para la asignación de cita de Obstetricia.</t>
  </si>
  <si>
    <t>Realizar análisis de la sumatoria total de los días calendario transcurridos entre la fecha en la cual el paciente solicita cita, por cualquier medio, para ser atendido en la consulta médica obstétrica y la fecha para la cual es asignada la cita / número total de consultas médicas obstétricas.</t>
  </si>
  <si>
    <t>Tiempo promedio de espera para la asignación de cita de medicina interna.</t>
  </si>
  <si>
    <t>Sumatoria total de los días calendario transcurridos entre la fecha en la cual el paciente solicita cita, por cualquier medio, para ser atendido en la consulta médica de medicina interna y la fecha para la cual es asignada la cita / número total de consultas médicas de medicina interna.</t>
  </si>
  <si>
    <t>&lt;=15 días</t>
  </si>
  <si>
    <t>Realizar análisis del tiempo promedio de espera para la asignación de cita de medicina interna.</t>
  </si>
  <si>
    <t>Realizar análisis de la sumatoria total de los días calendario transcurridos entre la fecha en la cual el paciente solicita cita, por cualquier medio, para ser atendido en la consulta médica de medicina interna y la fecha para la cual es asignada la cita / número total de consultas médicas de medicina interna.</t>
  </si>
  <si>
    <t>CRONOGRAMA</t>
  </si>
  <si>
    <t>ENERO</t>
  </si>
  <si>
    <t>FEBRERO</t>
  </si>
  <si>
    <t>MARZO</t>
  </si>
  <si>
    <t>ABRIL</t>
  </si>
  <si>
    <t>MAYO</t>
  </si>
  <si>
    <t>JUNIO</t>
  </si>
  <si>
    <t>JULIO</t>
  </si>
  <si>
    <t>AGOSTO</t>
  </si>
  <si>
    <t>SEPTIEMBRE</t>
  </si>
  <si>
    <t>OCTUBRE</t>
  </si>
  <si>
    <t>NOVIEMBRE</t>
  </si>
  <si>
    <t>DICIEMBRE</t>
  </si>
  <si>
    <t xml:space="preserve">FUENTE DE INFORMACION </t>
  </si>
  <si>
    <t>MEDICION O LOGRO</t>
  </si>
  <si>
    <t>FUENTE DE INFORMACION</t>
  </si>
  <si>
    <t>COCTUBRE</t>
  </si>
  <si>
    <t>VALOR TOTAL PROYECTO</t>
  </si>
  <si>
    <t>VALOR PROYECTADO</t>
  </si>
  <si>
    <t>VALOR EJECUTADO</t>
  </si>
  <si>
    <t>X</t>
  </si>
  <si>
    <t>Líder de hospitalización</t>
  </si>
  <si>
    <t>Líder de SIAU</t>
  </si>
  <si>
    <t>Líder de facturación, Tecnologa en Sistemas</t>
  </si>
  <si>
    <t>Líder de facturación, Auxiliares de facturación</t>
  </si>
  <si>
    <t>Equipo Directivo, Comunicaciones</t>
  </si>
  <si>
    <t>Definir las estrategias y acciones que garanticen el cumplimiento y adherencia a la resolucion 1995 de 1999</t>
  </si>
  <si>
    <t>Realizar brigadas de salud periodicas en la unidad de atención extramural en puestos de salud, que garanticen el acceso a los servicios a los usuarios de la zona rural del municipio.</t>
  </si>
  <si>
    <t>Líder de P y M</t>
  </si>
  <si>
    <t>Líder de sistemas y Gerencia</t>
  </si>
  <si>
    <t>Realizar actualizaciones del software corporativo Xenco Advanced, de acuerdo con las necesidades de la institución y los criterios normativos.</t>
  </si>
  <si>
    <t>Dirección Administrartiva - Auxiliar Administrativa de Contratación</t>
  </si>
  <si>
    <t>Dirección Financiera</t>
  </si>
  <si>
    <t>Técnica de cartera</t>
  </si>
  <si>
    <t>Gerencia - Dirección financiera</t>
  </si>
  <si>
    <t>Dirección de talento humano, y Auxiliar Administrativa de Nómina</t>
  </si>
  <si>
    <t>Dirección de talento humano</t>
  </si>
  <si>
    <t>Subgerencia, Dirección administrativa, Dirección financiera y Dirección de talento humano</t>
  </si>
  <si>
    <t>Gerencia y equipo directivo</t>
  </si>
  <si>
    <t>Gerencia y equipo directivo (Sistemas)</t>
  </si>
  <si>
    <t>Líder de urgencias, hospitalización y P y M</t>
  </si>
  <si>
    <t>Dirección administrativa o funcionario asignado</t>
  </si>
  <si>
    <t>Dirección administrativa</t>
  </si>
  <si>
    <t>Documentar los proyectos de acuerdo con los requerimientos de la metodología MGA, para la renovación de la infraestructura, los equipos biomédicos, parque automotor y otros</t>
  </si>
  <si>
    <t>Gerencia - Profesional de Proyectos y Gestión ambiental</t>
  </si>
  <si>
    <t>Gerencia</t>
  </si>
  <si>
    <t>Disponer de recurso humano suficientes para garantizar la atención dentro del plazo establecido por la norma.</t>
  </si>
  <si>
    <t>Gerencia, dirección de talento humano</t>
  </si>
  <si>
    <t>Líder de auditoria, Auxiliares de glosas y devoluciones</t>
  </si>
  <si>
    <t>TOTAL METAS CUMPLIDAS A DICIEMBRE 31 DE 2026</t>
  </si>
  <si>
    <t>META 2026</t>
  </si>
  <si>
    <t>Dirección de talento humano, SST</t>
  </si>
  <si>
    <t>Dirección de talento humano, SST.</t>
  </si>
  <si>
    <t>Gerencia , Auxiliar administrativa de contratacion.</t>
  </si>
  <si>
    <t>Gestion Ambiental - Direccion Administrativa.</t>
  </si>
  <si>
    <t>Gestion Ambiental - Comunicaciones</t>
  </si>
  <si>
    <t>Comunicaciones - SIAU</t>
  </si>
  <si>
    <t>Líder SIAU</t>
  </si>
  <si>
    <t>Líder SIAU - Subgerencia</t>
  </si>
  <si>
    <t>Líder del SIAU</t>
  </si>
  <si>
    <t>Direccion Administrativa</t>
  </si>
  <si>
    <t>Direccion Administrativa -Líder de sistemas</t>
  </si>
  <si>
    <r>
      <t>PLAN OPERATIVO ANUAL</t>
    </r>
    <r>
      <rPr>
        <b/>
        <sz val="14"/>
        <color rgb="FFFF0000"/>
        <rFont val="Arial"/>
        <family val="2"/>
      </rPr>
      <t xml:space="preserve"> </t>
    </r>
    <r>
      <rPr>
        <b/>
        <sz val="14"/>
        <rFont val="Arial"/>
        <family val="2"/>
      </rPr>
      <t>DE INVERSIONES 2026</t>
    </r>
    <r>
      <rPr>
        <b/>
        <sz val="14"/>
        <color theme="1"/>
        <rFont val="Arial"/>
        <family val="2"/>
      </rPr>
      <t xml:space="preserve">
</t>
    </r>
  </si>
  <si>
    <r>
      <t xml:space="preserve">PLAN OPERATIVO ANUAL DE INVERSIONES </t>
    </r>
    <r>
      <rPr>
        <b/>
        <sz val="14"/>
        <rFont val="Arial"/>
        <family val="2"/>
      </rPr>
      <t>2026</t>
    </r>
    <r>
      <rPr>
        <b/>
        <sz val="14"/>
        <color theme="1"/>
        <rFont val="Arial"/>
        <family val="2"/>
      </rPr>
      <t xml:space="preserve">
</t>
    </r>
  </si>
  <si>
    <r>
      <t>PLAN OPERATIVO ANUAL</t>
    </r>
    <r>
      <rPr>
        <b/>
        <sz val="14"/>
        <color rgb="FFFF0000"/>
        <rFont val="Arial"/>
        <family val="2"/>
      </rPr>
      <t xml:space="preserve"> </t>
    </r>
    <r>
      <rPr>
        <b/>
        <sz val="14"/>
        <rFont val="Arial"/>
        <family val="2"/>
      </rPr>
      <t>DE INVERSIONES</t>
    </r>
    <r>
      <rPr>
        <b/>
        <sz val="14"/>
        <color rgb="FFFF0000"/>
        <rFont val="Arial"/>
        <family val="2"/>
      </rPr>
      <t xml:space="preserve"> </t>
    </r>
    <r>
      <rPr>
        <b/>
        <sz val="14"/>
        <rFont val="Arial"/>
        <family val="2"/>
      </rPr>
      <t>2026</t>
    </r>
  </si>
  <si>
    <r>
      <t xml:space="preserve">PLAN OPERATIVO ANUAL DE INVERSIONES </t>
    </r>
    <r>
      <rPr>
        <b/>
        <sz val="14"/>
        <rFont val="Arial"/>
        <family val="2"/>
      </rPr>
      <t>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</si>
</sst>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28" x14ac:knownFonts="1">
    <font>
      <sz val="11"/>
      <color theme="1"/>
      <name val="Calibri"/>
      <family val="2"/>
      <scheme val="minor"/>
    </font>
    <font>
      <sz val="10"/>
      <name val="Arial"/>
      <family val="2"/>
    </font>
    <font>
      <sz val="11"/>
      <color rgb="FF000000"/>
      <name val="Calibri"/>
      <family val="2"/>
    </font>
    <font>
      <sz val="6"/>
      <color theme="1"/>
      <name val="Arial"/>
      <family val="2"/>
    </font>
    <font>
      <b/>
      <sz val="10"/>
      <color indexed="8"/>
      <name val="Arial"/>
      <family val="2"/>
    </font>
    <font>
      <b/>
      <sz val="10"/>
      <name val="Arial"/>
      <family val="2"/>
    </font>
    <font>
      <sz val="10"/>
      <color theme="1"/>
      <name val="Arial"/>
      <family val="2"/>
    </font>
    <font>
      <b/>
      <sz val="10"/>
      <color theme="1"/>
      <name val="Arial"/>
      <family val="2"/>
    </font>
    <font>
      <sz val="10"/>
      <color rgb="FF000000"/>
      <name val="Arial"/>
      <family val="2"/>
    </font>
    <font>
      <sz val="10"/>
      <color indexed="8"/>
      <name val="Arial"/>
      <family val="2"/>
    </font>
    <font>
      <b/>
      <sz val="11"/>
      <color indexed="8"/>
      <name val="Arial"/>
      <family val="2"/>
    </font>
    <font>
      <sz val="11"/>
      <color theme="1"/>
      <name val="Arial"/>
      <family val="2"/>
    </font>
    <font>
      <sz val="8"/>
      <name val="Calibri"/>
      <family val="2"/>
      <scheme val="minor"/>
    </font>
    <font>
      <b/>
      <sz val="12"/>
      <color indexed="8"/>
      <name val="Arial"/>
      <family val="2"/>
    </font>
    <font>
      <b/>
      <sz val="12"/>
      <name val="Arial"/>
      <family val="2"/>
    </font>
    <font>
      <sz val="12"/>
      <color theme="1"/>
      <name val="Arial"/>
      <family val="2"/>
    </font>
    <font>
      <sz val="12"/>
      <color indexed="8"/>
      <name val="Arial"/>
      <family val="2"/>
    </font>
    <font>
      <b/>
      <sz val="14"/>
      <color theme="1"/>
      <name val="Arial"/>
      <family val="2"/>
    </font>
    <font>
      <b/>
      <sz val="12"/>
      <color theme="1"/>
      <name val="Arial"/>
      <family val="2"/>
    </font>
    <font>
      <u/>
      <sz val="10"/>
      <color theme="1"/>
      <name val="Arial"/>
      <family val="2"/>
    </font>
    <font>
      <b/>
      <sz val="9"/>
      <color theme="1"/>
      <name val="Arial"/>
      <family val="2"/>
    </font>
    <font>
      <b/>
      <sz val="8"/>
      <color theme="1"/>
      <name val="Arial"/>
      <family val="2"/>
    </font>
    <font>
      <sz val="5"/>
      <color theme="1"/>
      <name val="Arial"/>
      <family val="2"/>
    </font>
    <font>
      <sz val="4"/>
      <color theme="1"/>
      <name val="Arial"/>
      <family val="2"/>
    </font>
    <font>
      <b/>
      <sz val="14"/>
      <color rgb="FFFF0000"/>
      <name val="Arial"/>
      <family val="2"/>
    </font>
    <font>
      <b/>
      <sz val="14"/>
      <name val="Arial"/>
      <family val="2"/>
    </font>
    <font>
      <sz val="11"/>
      <color theme="1"/>
      <name val="Calibri"/>
      <family val="2"/>
      <scheme val="minor"/>
    </font>
    <font>
      <sz val="6"/>
      <name val="Arial"/>
      <family val="2"/>
    </font>
  </fonts>
  <fills count="4">
    <fill>
      <patternFill patternType="none"/>
    </fill>
    <fill>
      <patternFill patternType="gray125"/>
    </fill>
    <fill>
      <patternFill patternType="solid">
        <fgColor theme="0"/>
        <bgColor indexed="26"/>
      </patternFill>
    </fill>
    <fill>
      <patternFill patternType="solid">
        <fgColor theme="8"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164" fontId="2" fillId="0" borderId="0"/>
    <xf numFmtId="9" fontId="26" fillId="0" borderId="0" applyFont="0" applyFill="0" applyBorder="0" applyAlignment="0" applyProtection="0"/>
  </cellStyleXfs>
  <cellXfs count="106">
    <xf numFmtId="0" fontId="0" fillId="0" borderId="0" xfId="0"/>
    <xf numFmtId="0" fontId="3" fillId="0" borderId="0" xfId="0" applyFont="1"/>
    <xf numFmtId="0" fontId="3" fillId="0" borderId="0" xfId="0" applyFont="1" applyAlignment="1">
      <alignment horizontal="left"/>
    </xf>
    <xf numFmtId="0" fontId="11" fillId="0" borderId="0" xfId="0" applyFont="1"/>
    <xf numFmtId="0" fontId="6" fillId="0" borderId="1" xfId="0" applyFont="1" applyBorder="1" applyAlignment="1">
      <alignment vertical="center"/>
    </xf>
    <xf numFmtId="0" fontId="6" fillId="0" borderId="0" xfId="0" applyFont="1"/>
    <xf numFmtId="0" fontId="1" fillId="0" borderId="1" xfId="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9" fontId="3" fillId="0" borderId="0" xfId="0" applyNumberFormat="1" applyFont="1" applyAlignment="1">
      <alignment vertical="center"/>
    </xf>
    <xf numFmtId="0" fontId="6" fillId="0" borderId="1" xfId="1" applyFont="1" applyBorder="1" applyAlignment="1">
      <alignment horizontal="center" vertical="center" wrapText="1"/>
    </xf>
    <xf numFmtId="164" fontId="6" fillId="0" borderId="1" xfId="2" applyFont="1" applyBorder="1" applyAlignment="1">
      <alignment horizontal="left" vertical="center" wrapText="1"/>
    </xf>
    <xf numFmtId="9" fontId="3" fillId="0" borderId="0" xfId="0" applyNumberFormat="1" applyFont="1" applyAlignment="1">
      <alignment horizontal="left" vertical="center" wrapText="1"/>
    </xf>
    <xf numFmtId="0" fontId="6" fillId="0" borderId="1" xfId="1" applyFont="1" applyBorder="1" applyAlignment="1">
      <alignment vertical="center" wrapText="1"/>
    </xf>
    <xf numFmtId="0" fontId="6" fillId="0" borderId="1" xfId="0" applyFont="1" applyBorder="1" applyAlignment="1">
      <alignment horizontal="left"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1" fillId="0" borderId="1" xfId="0" applyFont="1" applyBorder="1" applyAlignment="1">
      <alignment vertical="center" wrapText="1"/>
    </xf>
    <xf numFmtId="0" fontId="6" fillId="0" borderId="1" xfId="1" applyFont="1" applyBorder="1" applyAlignment="1">
      <alignment horizontal="left" vertical="center" wrapText="1"/>
    </xf>
    <xf numFmtId="0" fontId="6" fillId="0" borderId="1" xfId="0" applyFont="1" applyBorder="1"/>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4" fillId="3" borderId="1" xfId="0" applyFont="1" applyFill="1" applyBorder="1" applyAlignment="1">
      <alignment horizontal="center" vertical="center"/>
    </xf>
    <xf numFmtId="0" fontId="3" fillId="0" borderId="1" xfId="0" applyFont="1" applyBorder="1"/>
    <xf numFmtId="0" fontId="11" fillId="0" borderId="1" xfId="0" applyFont="1" applyBorder="1"/>
    <xf numFmtId="0" fontId="3" fillId="0" borderId="1" xfId="0" applyFont="1" applyBorder="1" applyAlignment="1">
      <alignment horizontal="left"/>
    </xf>
    <xf numFmtId="0" fontId="3" fillId="0" borderId="1" xfId="0" applyFont="1" applyBorder="1" applyAlignment="1">
      <alignment vertical="center"/>
    </xf>
    <xf numFmtId="0" fontId="23" fillId="3" borderId="1" xfId="1" applyFont="1" applyFill="1" applyBorder="1" applyAlignment="1">
      <alignment horizontal="center" vertical="center" textRotation="255" wrapText="1"/>
    </xf>
    <xf numFmtId="0" fontId="6" fillId="0" borderId="0" xfId="0" applyFont="1" applyAlignment="1">
      <alignment vertical="center"/>
    </xf>
    <xf numFmtId="3" fontId="6" fillId="0" borderId="1" xfId="0" applyNumberFormat="1" applyFont="1" applyBorder="1" applyAlignment="1">
      <alignment vertical="center"/>
    </xf>
    <xf numFmtId="164" fontId="6" fillId="0" borderId="1" xfId="2" applyFont="1" applyBorder="1" applyAlignment="1">
      <alignment horizontal="center" vertical="center" wrapText="1"/>
    </xf>
    <xf numFmtId="0" fontId="6" fillId="0" borderId="1" xfId="0" applyFont="1" applyBorder="1" applyAlignment="1">
      <alignment horizontal="center" wrapText="1"/>
    </xf>
    <xf numFmtId="0" fontId="27" fillId="0" borderId="1" xfId="0" applyFont="1" applyBorder="1"/>
    <xf numFmtId="0" fontId="6" fillId="0" borderId="1" xfId="0" applyFont="1" applyBorder="1" applyAlignment="1">
      <alignment horizontal="justify" vertical="distributed" wrapText="1"/>
    </xf>
    <xf numFmtId="0" fontId="1" fillId="0" borderId="1" xfId="1" applyBorder="1" applyAlignment="1">
      <alignment horizontal="justify" vertical="distributed" wrapText="1"/>
    </xf>
    <xf numFmtId="0" fontId="8" fillId="0" borderId="1" xfId="0" applyFont="1" applyBorder="1" applyAlignment="1">
      <alignment horizontal="justify" vertical="distributed" wrapText="1"/>
    </xf>
    <xf numFmtId="0" fontId="1" fillId="0" borderId="1" xfId="0" applyFont="1" applyBorder="1" applyAlignment="1">
      <alignment horizontal="justify" vertical="distributed" wrapText="1"/>
    </xf>
    <xf numFmtId="0" fontId="9" fillId="0" borderId="1" xfId="0" applyFont="1" applyBorder="1" applyAlignment="1">
      <alignment horizontal="justify" vertical="distributed" wrapText="1"/>
    </xf>
    <xf numFmtId="3" fontId="1" fillId="0" borderId="1" xfId="1" applyNumberFormat="1" applyBorder="1" applyAlignment="1">
      <alignment horizontal="center" vertical="center" wrapText="1"/>
    </xf>
    <xf numFmtId="3" fontId="1" fillId="0" borderId="1" xfId="0" applyNumberFormat="1" applyFont="1" applyBorder="1" applyAlignment="1">
      <alignment vertical="center"/>
    </xf>
    <xf numFmtId="9" fontId="6" fillId="0" borderId="1" xfId="3" applyFont="1" applyFill="1" applyBorder="1" applyAlignment="1">
      <alignment vertical="center"/>
    </xf>
    <xf numFmtId="0" fontId="1" fillId="0" borderId="1" xfId="1" applyBorder="1" applyAlignment="1">
      <alignment vertical="center" wrapText="1"/>
    </xf>
    <xf numFmtId="0" fontId="1" fillId="0" borderId="1" xfId="0" applyFont="1" applyBorder="1" applyAlignment="1">
      <alignment horizontal="center" vertical="center" wrapText="1"/>
    </xf>
    <xf numFmtId="9" fontId="1" fillId="0" borderId="1" xfId="3" applyFont="1" applyFill="1" applyBorder="1" applyAlignment="1">
      <alignment vertical="center"/>
    </xf>
    <xf numFmtId="9" fontId="1" fillId="0" borderId="1" xfId="3"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22" fillId="3" borderId="1" xfId="1" applyFont="1" applyFill="1" applyBorder="1" applyAlignment="1">
      <alignment horizontal="center" vertical="center" textRotation="255"/>
    </xf>
    <xf numFmtId="0" fontId="7" fillId="3" borderId="1" xfId="0" applyFont="1" applyFill="1" applyBorder="1" applyAlignment="1">
      <alignment horizontal="center" vertical="center"/>
    </xf>
    <xf numFmtId="0" fontId="7" fillId="3"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4" fillId="3" borderId="1" xfId="0" applyFont="1" applyFill="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9" fontId="7" fillId="0" borderId="6"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4" fillId="0" borderId="1" xfId="0" applyFont="1" applyBorder="1" applyAlignment="1">
      <alignment horizontal="left" vertical="center"/>
    </xf>
    <xf numFmtId="0" fontId="8" fillId="0" borderId="1" xfId="0" applyFont="1" applyBorder="1" applyAlignment="1">
      <alignment horizontal="left"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vertical="center" wrapText="1"/>
    </xf>
    <xf numFmtId="0" fontId="1" fillId="0" borderId="1" xfId="0" applyFont="1" applyBorder="1" applyAlignment="1">
      <alignment vertical="center" wrapText="1"/>
    </xf>
    <xf numFmtId="0" fontId="6" fillId="2" borderId="1" xfId="0" applyFont="1" applyFill="1" applyBorder="1" applyAlignment="1">
      <alignment horizontal="left" vertical="center" wrapText="1"/>
    </xf>
    <xf numFmtId="0" fontId="6" fillId="0" borderId="1" xfId="1" applyFont="1" applyBorder="1" applyAlignment="1">
      <alignment horizontal="center" vertical="center" wrapText="1"/>
    </xf>
    <xf numFmtId="0" fontId="7" fillId="3" borderId="1"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20" fillId="3" borderId="1" xfId="0" applyFont="1" applyFill="1" applyBorder="1" applyAlignment="1">
      <alignment horizontal="center" vertical="center" wrapText="1"/>
    </xf>
    <xf numFmtId="0" fontId="1" fillId="0" borderId="1" xfId="1" applyBorder="1" applyAlignment="1">
      <alignment horizontal="left" vertical="center" wrapText="1"/>
    </xf>
    <xf numFmtId="9" fontId="7" fillId="0" borderId="1" xfId="0" applyNumberFormat="1" applyFont="1" applyBorder="1" applyAlignment="1">
      <alignment horizontal="center" vertical="center" wrapText="1"/>
    </xf>
    <xf numFmtId="0" fontId="6" fillId="0" borderId="1" xfId="1" applyFont="1" applyBorder="1" applyAlignment="1">
      <alignment horizontal="left" vertical="center" wrapText="1"/>
    </xf>
    <xf numFmtId="0" fontId="10" fillId="0" borderId="1" xfId="0" applyFont="1" applyBorder="1" applyAlignment="1">
      <alignment horizontal="center" vertical="center"/>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23" fillId="3" borderId="1" xfId="1" applyFont="1" applyFill="1" applyBorder="1" applyAlignment="1">
      <alignment horizontal="center" vertical="center" textRotation="255" wrapText="1"/>
    </xf>
    <xf numFmtId="0" fontId="9" fillId="0" borderId="1" xfId="0" applyFont="1" applyBorder="1" applyAlignment="1">
      <alignment horizontal="left" vertical="center" wrapText="1"/>
    </xf>
    <xf numFmtId="0" fontId="21" fillId="3" borderId="4" xfId="0" applyFont="1" applyFill="1" applyBorder="1" applyAlignment="1">
      <alignment horizontal="center" vertical="center" wrapText="1"/>
    </xf>
    <xf numFmtId="0" fontId="14" fillId="0" borderId="1" xfId="0" applyFont="1" applyBorder="1" applyAlignment="1">
      <alignment horizontal="center" vertical="center"/>
    </xf>
    <xf numFmtId="0" fontId="21" fillId="3" borderId="1" xfId="0" applyFont="1" applyFill="1" applyBorder="1" applyAlignment="1">
      <alignment horizontal="center" vertical="center" wrapText="1"/>
    </xf>
  </cellXfs>
  <cellStyles count="4">
    <cellStyle name="Excel Built-in Normal" xfId="2" xr:uid="{00000000-0005-0000-0000-000000000000}"/>
    <cellStyle name="Normal" xfId="0" builtinId="0"/>
    <cellStyle name="Normal_FORMATOS" xfId="1"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0</xdr:rowOff>
    </xdr:from>
    <xdr:to>
      <xdr:col>0</xdr:col>
      <xdr:colOff>1486975</xdr:colOff>
      <xdr:row>1</xdr:row>
      <xdr:rowOff>9524</xdr:rowOff>
    </xdr:to>
    <xdr:pic>
      <xdr:nvPicPr>
        <xdr:cNvPr id="2" name="Imagen 1">
          <a:extLst>
            <a:ext uri="{FF2B5EF4-FFF2-40B4-BE49-F238E27FC236}">
              <a16:creationId xmlns:a16="http://schemas.microsoft.com/office/drawing/2014/main" id="{8DCE1383-04BC-4568-B617-32AEAC2EEE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0"/>
          <a:ext cx="121075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252413</xdr:colOff>
      <xdr:row>0</xdr:row>
      <xdr:rowOff>14287</xdr:rowOff>
    </xdr:from>
    <xdr:to>
      <xdr:col>0</xdr:col>
      <xdr:colOff>1463163</xdr:colOff>
      <xdr:row>0</xdr:row>
      <xdr:rowOff>776287</xdr:rowOff>
    </xdr:to>
    <xdr:pic>
      <xdr:nvPicPr>
        <xdr:cNvPr id="2" name="Imagen 1">
          <a:extLst>
            <a:ext uri="{FF2B5EF4-FFF2-40B4-BE49-F238E27FC236}">
              <a16:creationId xmlns:a16="http://schemas.microsoft.com/office/drawing/2014/main" id="{C2057D45-61C7-48D3-9C8D-B4D4E65761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413" y="14287"/>
          <a:ext cx="1210750"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1210750</xdr:colOff>
      <xdr:row>0</xdr:row>
      <xdr:rowOff>762000</xdr:rowOff>
    </xdr:to>
    <xdr:pic>
      <xdr:nvPicPr>
        <xdr:cNvPr id="2" name="Imagen 1">
          <a:extLst>
            <a:ext uri="{FF2B5EF4-FFF2-40B4-BE49-F238E27FC236}">
              <a16:creationId xmlns:a16="http://schemas.microsoft.com/office/drawing/2014/main" id="{CD38CA6D-B9E3-4927-82D0-5589C0BD7C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10750" cy="76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15875</xdr:rowOff>
    </xdr:from>
    <xdr:to>
      <xdr:col>0</xdr:col>
      <xdr:colOff>1188525</xdr:colOff>
      <xdr:row>0</xdr:row>
      <xdr:rowOff>777875</xdr:rowOff>
    </xdr:to>
    <xdr:pic>
      <xdr:nvPicPr>
        <xdr:cNvPr id="2" name="Imagen 1">
          <a:extLst>
            <a:ext uri="{FF2B5EF4-FFF2-40B4-BE49-F238E27FC236}">
              <a16:creationId xmlns:a16="http://schemas.microsoft.com/office/drawing/2014/main" id="{FC30B2F6-D6A8-4D2D-B3E3-6940B953C0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 y="15875"/>
          <a:ext cx="1210750"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1074</xdr:colOff>
      <xdr:row>0</xdr:row>
      <xdr:rowOff>762000</xdr:rowOff>
    </xdr:to>
    <xdr:pic>
      <xdr:nvPicPr>
        <xdr:cNvPr id="2" name="Imagen 1">
          <a:extLst>
            <a:ext uri="{FF2B5EF4-FFF2-40B4-BE49-F238E27FC236}">
              <a16:creationId xmlns:a16="http://schemas.microsoft.com/office/drawing/2014/main" id="{C554C262-FE8D-498D-8F8F-D81EE17588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10750"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1075</xdr:colOff>
      <xdr:row>1</xdr:row>
      <xdr:rowOff>31750</xdr:rowOff>
    </xdr:to>
    <xdr:pic>
      <xdr:nvPicPr>
        <xdr:cNvPr id="2" name="Imagen 1">
          <a:extLst>
            <a:ext uri="{FF2B5EF4-FFF2-40B4-BE49-F238E27FC236}">
              <a16:creationId xmlns:a16="http://schemas.microsoft.com/office/drawing/2014/main" id="{99E56680-E41E-457E-9E63-70C0540AE6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10750" cy="762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W26"/>
  <sheetViews>
    <sheetView zoomScale="90" zoomScaleNormal="90" workbookViewId="0">
      <selection activeCell="A2" sqref="A2"/>
    </sheetView>
  </sheetViews>
  <sheetFormatPr baseColWidth="10" defaultColWidth="11.42578125" defaultRowHeight="15.75" customHeight="1" x14ac:dyDescent="0.2"/>
  <cols>
    <col min="1" max="1" width="22.5703125" style="5" customWidth="1"/>
    <col min="2" max="2" width="24.85546875" style="5" customWidth="1"/>
    <col min="3" max="3" width="15" style="5" customWidth="1"/>
    <col min="4" max="4" width="23.42578125" style="5" customWidth="1"/>
    <col min="5" max="5" width="7.42578125" style="5" customWidth="1"/>
    <col min="6" max="6" width="43.85546875" style="5" customWidth="1"/>
    <col min="7" max="7" width="5.5703125" style="5" customWidth="1"/>
    <col min="8" max="8" width="5" style="5" customWidth="1"/>
    <col min="9" max="12" width="5.28515625" style="5" customWidth="1"/>
    <col min="13" max="14" width="5" style="5" customWidth="1"/>
    <col min="15" max="15" width="4.85546875" style="5" customWidth="1"/>
    <col min="16" max="16" width="5.28515625" style="5" customWidth="1"/>
    <col min="17" max="18" width="5.7109375" style="5" customWidth="1"/>
    <col min="19" max="19" width="17.140625" style="5" customWidth="1"/>
    <col min="20" max="20" width="28" style="5" customWidth="1"/>
    <col min="21" max="21" width="23.42578125" style="5" customWidth="1"/>
    <col min="22" max="22" width="19.140625" style="31" customWidth="1"/>
    <col min="23" max="23" width="17.7109375" style="5" customWidth="1"/>
    <col min="24" max="16384" width="11.42578125" style="5"/>
  </cols>
  <sheetData>
    <row r="1" spans="1:23" ht="59.45" customHeight="1" x14ac:dyDescent="0.2">
      <c r="A1" s="64" t="s">
        <v>356</v>
      </c>
      <c r="B1" s="65"/>
      <c r="C1" s="65"/>
      <c r="D1" s="65"/>
      <c r="E1" s="65"/>
      <c r="F1" s="65"/>
      <c r="G1" s="65"/>
      <c r="H1" s="65"/>
      <c r="I1" s="65"/>
      <c r="J1" s="65"/>
      <c r="K1" s="65"/>
      <c r="L1" s="65"/>
      <c r="M1" s="65"/>
      <c r="N1" s="65"/>
      <c r="O1" s="65"/>
      <c r="P1" s="65"/>
      <c r="Q1" s="65"/>
      <c r="R1" s="65"/>
      <c r="S1" s="65"/>
      <c r="T1" s="65"/>
      <c r="U1" s="65"/>
      <c r="V1" s="65"/>
      <c r="W1" s="66"/>
    </row>
    <row r="2" spans="1:23" ht="15.75" customHeight="1" x14ac:dyDescent="0.2">
      <c r="A2" s="23"/>
      <c r="B2" s="24"/>
      <c r="C2" s="24"/>
      <c r="D2" s="24"/>
      <c r="E2" s="24"/>
      <c r="F2" s="24"/>
      <c r="G2" s="24"/>
      <c r="H2" s="24"/>
      <c r="I2" s="24"/>
      <c r="J2" s="24"/>
      <c r="K2" s="24"/>
      <c r="L2" s="24"/>
      <c r="M2" s="24"/>
      <c r="N2" s="24"/>
      <c r="O2" s="24"/>
      <c r="P2" s="24"/>
      <c r="Q2" s="24"/>
      <c r="R2" s="24"/>
      <c r="S2" s="24"/>
      <c r="T2" s="22"/>
      <c r="U2" s="22"/>
      <c r="V2" s="4"/>
      <c r="W2" s="22"/>
    </row>
    <row r="3" spans="1:23" ht="34.5" customHeight="1" x14ac:dyDescent="0.2">
      <c r="A3" s="10" t="s">
        <v>107</v>
      </c>
      <c r="B3" s="67" t="s">
        <v>104</v>
      </c>
      <c r="C3" s="68"/>
      <c r="D3" s="68"/>
      <c r="E3" s="68"/>
      <c r="F3" s="68"/>
      <c r="G3" s="68"/>
      <c r="H3" s="68"/>
      <c r="I3" s="68"/>
      <c r="J3" s="68"/>
      <c r="K3" s="68"/>
      <c r="L3" s="68"/>
      <c r="M3" s="68"/>
      <c r="N3" s="68"/>
      <c r="O3" s="68"/>
      <c r="P3" s="68"/>
      <c r="Q3" s="68"/>
      <c r="R3" s="68"/>
      <c r="S3" s="68"/>
      <c r="T3" s="68"/>
      <c r="U3" s="68"/>
      <c r="V3" s="68"/>
      <c r="W3" s="69"/>
    </row>
    <row r="4" spans="1:23" ht="15.75" customHeight="1" x14ac:dyDescent="0.2">
      <c r="A4" s="76"/>
      <c r="B4" s="76"/>
      <c r="C4" s="76"/>
      <c r="D4" s="76"/>
      <c r="E4" s="76"/>
      <c r="F4" s="76"/>
      <c r="G4" s="76"/>
      <c r="H4" s="76"/>
      <c r="I4" s="76"/>
      <c r="J4" s="76"/>
      <c r="K4" s="76"/>
      <c r="L4" s="76"/>
      <c r="M4" s="76"/>
      <c r="N4" s="76"/>
      <c r="O4" s="76"/>
      <c r="P4" s="76"/>
      <c r="Q4" s="76"/>
      <c r="R4" s="76"/>
      <c r="S4" s="76"/>
      <c r="T4" s="22"/>
      <c r="U4" s="22"/>
      <c r="V4" s="4"/>
      <c r="W4" s="22"/>
    </row>
    <row r="5" spans="1:23" ht="30.75" customHeight="1" x14ac:dyDescent="0.2">
      <c r="A5" s="10" t="s">
        <v>106</v>
      </c>
      <c r="B5" s="70" t="s">
        <v>105</v>
      </c>
      <c r="C5" s="71"/>
      <c r="D5" s="71"/>
      <c r="E5" s="71"/>
      <c r="F5" s="71"/>
      <c r="G5" s="71"/>
      <c r="H5" s="71"/>
      <c r="I5" s="71"/>
      <c r="J5" s="71"/>
      <c r="K5" s="71"/>
      <c r="L5" s="71"/>
      <c r="M5" s="71"/>
      <c r="N5" s="71"/>
      <c r="O5" s="71"/>
      <c r="P5" s="71"/>
      <c r="Q5" s="71"/>
      <c r="R5" s="71"/>
      <c r="S5" s="71"/>
      <c r="T5" s="71"/>
      <c r="U5" s="71"/>
      <c r="V5" s="71"/>
      <c r="W5" s="72"/>
    </row>
    <row r="6" spans="1:23" ht="17.25" customHeight="1" x14ac:dyDescent="0.2">
      <c r="A6" s="52" t="s">
        <v>1</v>
      </c>
      <c r="B6" s="53" t="s">
        <v>2</v>
      </c>
      <c r="C6" s="53" t="s">
        <v>18</v>
      </c>
      <c r="D6" s="53" t="s">
        <v>28</v>
      </c>
      <c r="E6" s="54" t="s">
        <v>344</v>
      </c>
      <c r="F6" s="53" t="s">
        <v>41</v>
      </c>
      <c r="G6" s="58" t="s">
        <v>294</v>
      </c>
      <c r="H6" s="58"/>
      <c r="I6" s="58"/>
      <c r="J6" s="58"/>
      <c r="K6" s="58"/>
      <c r="L6" s="58"/>
      <c r="M6" s="58"/>
      <c r="N6" s="58"/>
      <c r="O6" s="58"/>
      <c r="P6" s="58"/>
      <c r="Q6" s="58"/>
      <c r="R6" s="25"/>
      <c r="S6" s="54" t="s">
        <v>0</v>
      </c>
      <c r="T6" s="48" t="s">
        <v>307</v>
      </c>
      <c r="U6" s="48" t="s">
        <v>308</v>
      </c>
      <c r="V6" s="73" t="s">
        <v>312</v>
      </c>
      <c r="W6" s="73" t="s">
        <v>313</v>
      </c>
    </row>
    <row r="7" spans="1:23" ht="12.75" customHeight="1" x14ac:dyDescent="0.2">
      <c r="A7" s="52"/>
      <c r="B7" s="53"/>
      <c r="C7" s="53"/>
      <c r="D7" s="53"/>
      <c r="E7" s="54"/>
      <c r="F7" s="53"/>
      <c r="G7" s="51" t="s">
        <v>295</v>
      </c>
      <c r="H7" s="51" t="s">
        <v>296</v>
      </c>
      <c r="I7" s="51" t="s">
        <v>297</v>
      </c>
      <c r="J7" s="51" t="s">
        <v>298</v>
      </c>
      <c r="K7" s="51" t="s">
        <v>299</v>
      </c>
      <c r="L7" s="51" t="s">
        <v>300</v>
      </c>
      <c r="M7" s="51" t="s">
        <v>301</v>
      </c>
      <c r="N7" s="51" t="s">
        <v>302</v>
      </c>
      <c r="O7" s="51" t="s">
        <v>303</v>
      </c>
      <c r="P7" s="51" t="s">
        <v>304</v>
      </c>
      <c r="Q7" s="51" t="s">
        <v>305</v>
      </c>
      <c r="R7" s="51" t="s">
        <v>306</v>
      </c>
      <c r="S7" s="54"/>
      <c r="T7" s="49"/>
      <c r="U7" s="49"/>
      <c r="V7" s="74"/>
      <c r="W7" s="74"/>
    </row>
    <row r="8" spans="1:23" ht="20.25" customHeight="1" x14ac:dyDescent="0.2">
      <c r="A8" s="52"/>
      <c r="B8" s="53"/>
      <c r="C8" s="53"/>
      <c r="D8" s="53"/>
      <c r="E8" s="54"/>
      <c r="F8" s="53"/>
      <c r="G8" s="51"/>
      <c r="H8" s="51"/>
      <c r="I8" s="51"/>
      <c r="J8" s="51"/>
      <c r="K8" s="51"/>
      <c r="L8" s="51"/>
      <c r="M8" s="51"/>
      <c r="N8" s="51"/>
      <c r="O8" s="51"/>
      <c r="P8" s="51"/>
      <c r="Q8" s="51"/>
      <c r="R8" s="51"/>
      <c r="S8" s="54"/>
      <c r="T8" s="49"/>
      <c r="U8" s="49"/>
      <c r="V8" s="74"/>
      <c r="W8" s="74"/>
    </row>
    <row r="9" spans="1:23" ht="52.5" customHeight="1" x14ac:dyDescent="0.2">
      <c r="A9" s="52"/>
      <c r="B9" s="53"/>
      <c r="C9" s="53"/>
      <c r="D9" s="53"/>
      <c r="E9" s="54"/>
      <c r="F9" s="53"/>
      <c r="G9" s="51"/>
      <c r="H9" s="51"/>
      <c r="I9" s="51"/>
      <c r="J9" s="51"/>
      <c r="K9" s="51"/>
      <c r="L9" s="51"/>
      <c r="M9" s="51"/>
      <c r="N9" s="51"/>
      <c r="O9" s="51"/>
      <c r="P9" s="51"/>
      <c r="Q9" s="51"/>
      <c r="R9" s="51"/>
      <c r="S9" s="54"/>
      <c r="T9" s="50"/>
      <c r="U9" s="50"/>
      <c r="V9" s="75"/>
      <c r="W9" s="75"/>
    </row>
    <row r="10" spans="1:23" s="31" customFormat="1" ht="51" x14ac:dyDescent="0.25">
      <c r="A10" s="59" t="s">
        <v>108</v>
      </c>
      <c r="B10" s="59" t="s">
        <v>109</v>
      </c>
      <c r="C10" s="59" t="s">
        <v>95</v>
      </c>
      <c r="D10" s="59" t="s">
        <v>53</v>
      </c>
      <c r="E10" s="60" t="s">
        <v>54</v>
      </c>
      <c r="F10" s="17" t="s">
        <v>115</v>
      </c>
      <c r="G10" s="18" t="s">
        <v>314</v>
      </c>
      <c r="H10" s="18" t="s">
        <v>314</v>
      </c>
      <c r="I10" s="18" t="s">
        <v>314</v>
      </c>
      <c r="J10" s="18" t="s">
        <v>314</v>
      </c>
      <c r="K10" s="18" t="s">
        <v>314</v>
      </c>
      <c r="L10" s="18" t="s">
        <v>314</v>
      </c>
      <c r="M10" s="18" t="s">
        <v>314</v>
      </c>
      <c r="N10" s="18" t="s">
        <v>314</v>
      </c>
      <c r="O10" s="18" t="s">
        <v>314</v>
      </c>
      <c r="P10" s="18" t="s">
        <v>314</v>
      </c>
      <c r="Q10" s="18" t="s">
        <v>314</v>
      </c>
      <c r="R10" s="18" t="s">
        <v>314</v>
      </c>
      <c r="S10" s="36" t="s">
        <v>318</v>
      </c>
      <c r="T10" s="36"/>
      <c r="U10" s="43"/>
      <c r="V10" s="32">
        <f>(6870728+4000000*5+3856176*2)*12</f>
        <v>414996960</v>
      </c>
      <c r="W10" s="4"/>
    </row>
    <row r="11" spans="1:23" ht="51" x14ac:dyDescent="0.2">
      <c r="A11" s="59"/>
      <c r="B11" s="59"/>
      <c r="C11" s="59"/>
      <c r="D11" s="59"/>
      <c r="E11" s="60"/>
      <c r="F11" s="17" t="s">
        <v>116</v>
      </c>
      <c r="G11" s="18" t="s">
        <v>314</v>
      </c>
      <c r="H11" s="18" t="s">
        <v>314</v>
      </c>
      <c r="I11" s="18" t="s">
        <v>314</v>
      </c>
      <c r="J11" s="18" t="s">
        <v>314</v>
      </c>
      <c r="K11" s="18" t="s">
        <v>314</v>
      </c>
      <c r="L11" s="18" t="s">
        <v>314</v>
      </c>
      <c r="M11" s="18" t="s">
        <v>314</v>
      </c>
      <c r="N11" s="18" t="s">
        <v>314</v>
      </c>
      <c r="O11" s="18" t="s">
        <v>314</v>
      </c>
      <c r="P11" s="18" t="s">
        <v>314</v>
      </c>
      <c r="Q11" s="18" t="s">
        <v>314</v>
      </c>
      <c r="R11" s="18" t="s">
        <v>314</v>
      </c>
      <c r="S11" s="36" t="s">
        <v>318</v>
      </c>
      <c r="T11" s="36"/>
      <c r="U11" s="43"/>
      <c r="V11" s="32">
        <f>(6870728+4000000*5+3856176*2)*12</f>
        <v>414996960</v>
      </c>
      <c r="W11" s="22"/>
    </row>
    <row r="12" spans="1:23" ht="51" x14ac:dyDescent="0.2">
      <c r="A12" s="59"/>
      <c r="B12" s="59"/>
      <c r="C12" s="59"/>
      <c r="D12" s="59"/>
      <c r="E12" s="60"/>
      <c r="F12" s="17" t="s">
        <v>117</v>
      </c>
      <c r="G12" s="18" t="s">
        <v>314</v>
      </c>
      <c r="H12" s="17"/>
      <c r="I12" s="17"/>
      <c r="J12" s="18" t="s">
        <v>314</v>
      </c>
      <c r="K12" s="17"/>
      <c r="L12" s="17"/>
      <c r="M12" s="18" t="s">
        <v>314</v>
      </c>
      <c r="N12" s="17"/>
      <c r="O12" s="17"/>
      <c r="P12" s="18" t="s">
        <v>314</v>
      </c>
      <c r="Q12" s="17"/>
      <c r="R12" s="17"/>
      <c r="S12" s="36" t="s">
        <v>317</v>
      </c>
      <c r="T12" s="36"/>
      <c r="U12" s="43"/>
      <c r="V12" s="32">
        <f>(6870728+3741358+3975000)</f>
        <v>14587086</v>
      </c>
      <c r="W12" s="22"/>
    </row>
    <row r="13" spans="1:23" ht="63.75" customHeight="1" x14ac:dyDescent="0.2">
      <c r="A13" s="59"/>
      <c r="B13" s="59"/>
      <c r="C13" s="59"/>
      <c r="D13" s="59"/>
      <c r="E13" s="60"/>
      <c r="F13" s="17" t="s">
        <v>118</v>
      </c>
      <c r="G13" s="18" t="s">
        <v>314</v>
      </c>
      <c r="H13" s="18" t="s">
        <v>314</v>
      </c>
      <c r="I13" s="18" t="s">
        <v>314</v>
      </c>
      <c r="J13" s="18" t="s">
        <v>314</v>
      </c>
      <c r="K13" s="18" t="s">
        <v>314</v>
      </c>
      <c r="L13" s="18" t="s">
        <v>314</v>
      </c>
      <c r="M13" s="18" t="s">
        <v>314</v>
      </c>
      <c r="N13" s="18" t="s">
        <v>314</v>
      </c>
      <c r="O13" s="18" t="s">
        <v>314</v>
      </c>
      <c r="P13" s="18" t="s">
        <v>314</v>
      </c>
      <c r="Q13" s="18" t="s">
        <v>314</v>
      </c>
      <c r="R13" s="18" t="s">
        <v>314</v>
      </c>
      <c r="S13" s="36" t="s">
        <v>318</v>
      </c>
      <c r="T13" s="36"/>
      <c r="U13" s="43"/>
      <c r="V13" s="32">
        <f>(56000000)*12</f>
        <v>672000000</v>
      </c>
      <c r="W13" s="22"/>
    </row>
    <row r="14" spans="1:23" ht="126.75" customHeight="1" x14ac:dyDescent="0.2">
      <c r="A14" s="59"/>
      <c r="B14" s="59"/>
      <c r="C14" s="59"/>
      <c r="D14" s="59"/>
      <c r="E14" s="60"/>
      <c r="F14" s="17" t="s">
        <v>119</v>
      </c>
      <c r="G14" s="18" t="s">
        <v>314</v>
      </c>
      <c r="H14" s="18" t="s">
        <v>314</v>
      </c>
      <c r="I14" s="18" t="s">
        <v>314</v>
      </c>
      <c r="J14" s="18" t="s">
        <v>314</v>
      </c>
      <c r="K14" s="18" t="s">
        <v>314</v>
      </c>
      <c r="L14" s="18" t="s">
        <v>314</v>
      </c>
      <c r="M14" s="18" t="s">
        <v>314</v>
      </c>
      <c r="N14" s="18" t="s">
        <v>314</v>
      </c>
      <c r="O14" s="18" t="s">
        <v>314</v>
      </c>
      <c r="P14" s="18" t="s">
        <v>314</v>
      </c>
      <c r="Q14" s="18" t="s">
        <v>314</v>
      </c>
      <c r="R14" s="18" t="s">
        <v>314</v>
      </c>
      <c r="S14" s="36" t="s">
        <v>342</v>
      </c>
      <c r="T14" s="36"/>
      <c r="U14" s="43"/>
      <c r="V14" s="32">
        <f>(3000000*2+7138532+2500000)*12</f>
        <v>187662384</v>
      </c>
      <c r="W14" s="22"/>
    </row>
    <row r="15" spans="1:23" ht="41.25" customHeight="1" x14ac:dyDescent="0.2">
      <c r="A15" s="55" t="s">
        <v>311</v>
      </c>
      <c r="B15" s="56"/>
      <c r="C15" s="56"/>
      <c r="D15" s="56"/>
      <c r="E15" s="57"/>
      <c r="F15" s="17"/>
      <c r="G15" s="55"/>
      <c r="H15" s="56"/>
      <c r="I15" s="56"/>
      <c r="J15" s="56"/>
      <c r="K15" s="56"/>
      <c r="L15" s="56"/>
      <c r="M15" s="56"/>
      <c r="N15" s="56"/>
      <c r="O15" s="56"/>
      <c r="P15" s="56"/>
      <c r="Q15" s="56"/>
      <c r="R15" s="56"/>
      <c r="S15" s="57"/>
      <c r="T15" s="22"/>
      <c r="U15" s="22"/>
      <c r="V15" s="32">
        <f>SUM(V10:V14)</f>
        <v>1704243390</v>
      </c>
      <c r="W15" s="22"/>
    </row>
    <row r="16" spans="1:23" ht="178.5" x14ac:dyDescent="0.2">
      <c r="A16" s="17" t="s">
        <v>231</v>
      </c>
      <c r="B16" s="17" t="s">
        <v>232</v>
      </c>
      <c r="C16" s="17" t="s">
        <v>230</v>
      </c>
      <c r="D16" s="17" t="s">
        <v>229</v>
      </c>
      <c r="E16" s="18">
        <v>1.1100000000000001</v>
      </c>
      <c r="F16" s="17" t="s">
        <v>233</v>
      </c>
      <c r="G16" s="18"/>
      <c r="H16" s="18"/>
      <c r="I16" s="18" t="s">
        <v>314</v>
      </c>
      <c r="J16" s="18"/>
      <c r="K16" s="18"/>
      <c r="L16" s="18"/>
      <c r="M16" s="18"/>
      <c r="N16" s="18"/>
      <c r="O16" s="18"/>
      <c r="P16" s="18"/>
      <c r="Q16" s="18"/>
      <c r="R16" s="18"/>
      <c r="S16" s="36" t="s">
        <v>326</v>
      </c>
      <c r="T16" s="36"/>
      <c r="U16" s="43"/>
      <c r="V16" s="32">
        <f>9790975/30</f>
        <v>326365.83333333331</v>
      </c>
      <c r="W16" s="22"/>
    </row>
    <row r="17" spans="1:23" ht="127.5" x14ac:dyDescent="0.2">
      <c r="A17" s="17" t="s">
        <v>237</v>
      </c>
      <c r="B17" s="17" t="s">
        <v>239</v>
      </c>
      <c r="C17" s="17" t="s">
        <v>234</v>
      </c>
      <c r="D17" s="17" t="s">
        <v>236</v>
      </c>
      <c r="E17" s="18" t="s">
        <v>235</v>
      </c>
      <c r="F17" s="17" t="s">
        <v>238</v>
      </c>
      <c r="G17" s="18"/>
      <c r="H17" s="18"/>
      <c r="I17" s="18" t="s">
        <v>314</v>
      </c>
      <c r="J17" s="18"/>
      <c r="K17" s="18"/>
      <c r="L17" s="18"/>
      <c r="M17" s="18"/>
      <c r="N17" s="18"/>
      <c r="O17" s="18"/>
      <c r="P17" s="18"/>
      <c r="Q17" s="18"/>
      <c r="R17" s="18"/>
      <c r="S17" s="36" t="s">
        <v>326</v>
      </c>
      <c r="T17" s="36"/>
      <c r="U17" s="43"/>
      <c r="V17" s="32">
        <f>9790975/30</f>
        <v>326365.83333333331</v>
      </c>
      <c r="W17" s="22"/>
    </row>
    <row r="18" spans="1:23" ht="51" x14ac:dyDescent="0.2">
      <c r="A18" s="59" t="s">
        <v>110</v>
      </c>
      <c r="B18" s="59" t="s">
        <v>111</v>
      </c>
      <c r="C18" s="59" t="s">
        <v>96</v>
      </c>
      <c r="D18" s="59" t="s">
        <v>55</v>
      </c>
      <c r="E18" s="60" t="s">
        <v>89</v>
      </c>
      <c r="F18" s="17" t="s">
        <v>120</v>
      </c>
      <c r="G18" s="18" t="s">
        <v>314</v>
      </c>
      <c r="H18" s="18" t="s">
        <v>314</v>
      </c>
      <c r="I18" s="18" t="s">
        <v>314</v>
      </c>
      <c r="J18" s="18" t="s">
        <v>314</v>
      </c>
      <c r="K18" s="18" t="s">
        <v>314</v>
      </c>
      <c r="L18" s="18" t="s">
        <v>314</v>
      </c>
      <c r="M18" s="18" t="s">
        <v>314</v>
      </c>
      <c r="N18" s="18" t="s">
        <v>314</v>
      </c>
      <c r="O18" s="18" t="s">
        <v>314</v>
      </c>
      <c r="P18" s="18" t="s">
        <v>314</v>
      </c>
      <c r="Q18" s="18" t="s">
        <v>314</v>
      </c>
      <c r="R18" s="18" t="s">
        <v>314</v>
      </c>
      <c r="S18" s="36" t="s">
        <v>327</v>
      </c>
      <c r="T18" s="36"/>
      <c r="U18" s="43"/>
      <c r="V18" s="32">
        <f>3359667*12/2</f>
        <v>20158002</v>
      </c>
      <c r="W18" s="22"/>
    </row>
    <row r="19" spans="1:23" ht="40.5" customHeight="1" x14ac:dyDescent="0.2">
      <c r="A19" s="59"/>
      <c r="B19" s="59"/>
      <c r="C19" s="59"/>
      <c r="D19" s="59"/>
      <c r="E19" s="60"/>
      <c r="F19" s="16" t="s">
        <v>121</v>
      </c>
      <c r="G19" s="18" t="s">
        <v>314</v>
      </c>
      <c r="H19" s="18" t="s">
        <v>314</v>
      </c>
      <c r="I19" s="18" t="s">
        <v>314</v>
      </c>
      <c r="J19" s="18" t="s">
        <v>314</v>
      </c>
      <c r="K19" s="18" t="s">
        <v>314</v>
      </c>
      <c r="L19" s="18" t="s">
        <v>314</v>
      </c>
      <c r="M19" s="18" t="s">
        <v>314</v>
      </c>
      <c r="N19" s="18" t="s">
        <v>314</v>
      </c>
      <c r="O19" s="18" t="s">
        <v>314</v>
      </c>
      <c r="P19" s="18" t="s">
        <v>314</v>
      </c>
      <c r="Q19" s="18" t="s">
        <v>314</v>
      </c>
      <c r="R19" s="18" t="s">
        <v>314</v>
      </c>
      <c r="S19" s="36" t="s">
        <v>327</v>
      </c>
      <c r="T19" s="36"/>
      <c r="U19" s="43"/>
      <c r="V19" s="32">
        <f>3359667*12/2</f>
        <v>20158002</v>
      </c>
      <c r="W19" s="22"/>
    </row>
    <row r="20" spans="1:23" ht="42.95" customHeight="1" x14ac:dyDescent="0.2">
      <c r="A20" s="59"/>
      <c r="B20" s="59"/>
      <c r="C20" s="59"/>
      <c r="D20" s="59"/>
      <c r="E20" s="60"/>
      <c r="F20" s="16" t="s">
        <v>122</v>
      </c>
      <c r="G20" s="34"/>
      <c r="H20" s="34"/>
      <c r="I20" s="18" t="s">
        <v>314</v>
      </c>
      <c r="J20" s="34"/>
      <c r="K20" s="34"/>
      <c r="L20" s="34"/>
      <c r="M20" s="34"/>
      <c r="N20" s="34"/>
      <c r="O20" s="34"/>
      <c r="P20" s="34"/>
      <c r="Q20" s="34"/>
      <c r="R20" s="34"/>
      <c r="S20" s="36" t="s">
        <v>327</v>
      </c>
      <c r="T20" s="36"/>
      <c r="U20" s="43"/>
      <c r="V20" s="32">
        <f>3359667/30</f>
        <v>111988.9</v>
      </c>
      <c r="W20" s="22"/>
    </row>
    <row r="21" spans="1:23" ht="38.25" x14ac:dyDescent="0.2">
      <c r="A21" s="59"/>
      <c r="B21" s="59"/>
      <c r="C21" s="59"/>
      <c r="D21" s="59"/>
      <c r="E21" s="60"/>
      <c r="F21" s="16" t="s">
        <v>123</v>
      </c>
      <c r="G21" s="18" t="s">
        <v>314</v>
      </c>
      <c r="H21" s="18" t="s">
        <v>314</v>
      </c>
      <c r="I21" s="18" t="s">
        <v>314</v>
      </c>
      <c r="J21" s="18" t="s">
        <v>314</v>
      </c>
      <c r="K21" s="18" t="s">
        <v>314</v>
      </c>
      <c r="L21" s="18" t="s">
        <v>314</v>
      </c>
      <c r="M21" s="18" t="s">
        <v>314</v>
      </c>
      <c r="N21" s="18" t="s">
        <v>314</v>
      </c>
      <c r="O21" s="18" t="s">
        <v>314</v>
      </c>
      <c r="P21" s="18" t="s">
        <v>314</v>
      </c>
      <c r="Q21" s="18" t="s">
        <v>314</v>
      </c>
      <c r="R21" s="18" t="s">
        <v>314</v>
      </c>
      <c r="S21" s="36" t="s">
        <v>327</v>
      </c>
      <c r="T21" s="36"/>
      <c r="U21" s="43"/>
      <c r="V21" s="32">
        <f>3359667/30*2*12</f>
        <v>2687733.5999999996</v>
      </c>
      <c r="W21" s="22"/>
    </row>
    <row r="22" spans="1:23" ht="38.25" x14ac:dyDescent="0.2">
      <c r="A22" s="59" t="s">
        <v>112</v>
      </c>
      <c r="B22" s="59" t="s">
        <v>114</v>
      </c>
      <c r="C22" s="59" t="s">
        <v>97</v>
      </c>
      <c r="D22" s="59" t="s">
        <v>56</v>
      </c>
      <c r="E22" s="60" t="s">
        <v>84</v>
      </c>
      <c r="F22" s="17" t="s">
        <v>124</v>
      </c>
      <c r="G22" s="18"/>
      <c r="H22" s="18"/>
      <c r="I22" s="18"/>
      <c r="J22" s="18"/>
      <c r="K22" s="18"/>
      <c r="L22" s="18"/>
      <c r="M22" s="18"/>
      <c r="N22" s="18"/>
      <c r="O22" s="18"/>
      <c r="P22" s="18" t="s">
        <v>314</v>
      </c>
      <c r="Q22" s="18" t="s">
        <v>314</v>
      </c>
      <c r="R22" s="18" t="s">
        <v>314</v>
      </c>
      <c r="S22" s="36" t="s">
        <v>328</v>
      </c>
      <c r="T22" s="36"/>
      <c r="U22" s="43"/>
      <c r="V22" s="32">
        <f>9790975/30*15+21841958/30*3</f>
        <v>7079683.3000000007</v>
      </c>
      <c r="W22" s="22"/>
    </row>
    <row r="23" spans="1:23" ht="57" customHeight="1" x14ac:dyDescent="0.2">
      <c r="A23" s="59"/>
      <c r="B23" s="59"/>
      <c r="C23" s="59"/>
      <c r="D23" s="59"/>
      <c r="E23" s="60"/>
      <c r="F23" s="17" t="s">
        <v>125</v>
      </c>
      <c r="G23" s="18" t="s">
        <v>314</v>
      </c>
      <c r="H23" s="18"/>
      <c r="I23" s="18"/>
      <c r="J23" s="18" t="s">
        <v>314</v>
      </c>
      <c r="K23" s="18"/>
      <c r="L23" s="18"/>
      <c r="M23" s="18" t="s">
        <v>314</v>
      </c>
      <c r="N23" s="18"/>
      <c r="O23" s="18"/>
      <c r="P23" s="18" t="s">
        <v>314</v>
      </c>
      <c r="Q23" s="18"/>
      <c r="R23" s="18"/>
      <c r="S23" s="36" t="s">
        <v>326</v>
      </c>
      <c r="T23" s="36"/>
      <c r="U23" s="43"/>
      <c r="V23" s="32">
        <f>9790975/30*12</f>
        <v>3916390</v>
      </c>
      <c r="W23" s="22"/>
    </row>
    <row r="24" spans="1:23" ht="63.75" x14ac:dyDescent="0.2">
      <c r="A24" s="59" t="s">
        <v>113</v>
      </c>
      <c r="B24" s="59" t="s">
        <v>114</v>
      </c>
      <c r="C24" s="59" t="s">
        <v>98</v>
      </c>
      <c r="D24" s="59" t="s">
        <v>68</v>
      </c>
      <c r="E24" s="60" t="s">
        <v>82</v>
      </c>
      <c r="F24" s="19" t="s">
        <v>126</v>
      </c>
      <c r="G24" s="18" t="s">
        <v>314</v>
      </c>
      <c r="H24" s="18"/>
      <c r="I24" s="18"/>
      <c r="J24" s="18"/>
      <c r="K24" s="18"/>
      <c r="L24" s="18"/>
      <c r="M24" s="18"/>
      <c r="N24" s="18"/>
      <c r="O24" s="18"/>
      <c r="P24" s="18"/>
      <c r="Q24" s="18"/>
      <c r="R24" s="18"/>
      <c r="S24" s="36" t="s">
        <v>325</v>
      </c>
      <c r="T24" s="36"/>
      <c r="U24" s="43"/>
      <c r="V24" s="32">
        <f>((((3856176/30)*5))+((9790975/30)/240))*5</f>
        <v>3220279.2881944445</v>
      </c>
      <c r="W24" s="22"/>
    </row>
    <row r="25" spans="1:23" ht="63.75" x14ac:dyDescent="0.2">
      <c r="A25" s="59"/>
      <c r="B25" s="59"/>
      <c r="C25" s="59"/>
      <c r="D25" s="59"/>
      <c r="E25" s="60"/>
      <c r="F25" s="19" t="s">
        <v>127</v>
      </c>
      <c r="G25" s="18"/>
      <c r="H25" s="18"/>
      <c r="I25" s="18"/>
      <c r="J25" s="18"/>
      <c r="K25" s="18"/>
      <c r="L25" s="18"/>
      <c r="M25" s="18" t="s">
        <v>314</v>
      </c>
      <c r="N25" s="18"/>
      <c r="O25" s="18"/>
      <c r="P25" s="18"/>
      <c r="Q25" s="18"/>
      <c r="R25" s="18"/>
      <c r="S25" s="36" t="s">
        <v>325</v>
      </c>
      <c r="T25" s="36"/>
      <c r="U25" s="43"/>
      <c r="V25" s="32">
        <f>((((3856176/30)*5))+((9790975/30)/240))*2</f>
        <v>1288111.7152777778</v>
      </c>
      <c r="W25" s="22"/>
    </row>
    <row r="26" spans="1:23" ht="15.75" customHeight="1" x14ac:dyDescent="0.2">
      <c r="A26" s="22"/>
      <c r="B26" s="22"/>
      <c r="C26" s="22"/>
      <c r="D26" s="22"/>
      <c r="E26" s="22"/>
      <c r="F26" s="61" t="s">
        <v>343</v>
      </c>
      <c r="G26" s="62"/>
      <c r="H26" s="62"/>
      <c r="I26" s="62"/>
      <c r="J26" s="62"/>
      <c r="K26" s="62"/>
      <c r="L26" s="62"/>
      <c r="M26" s="62"/>
      <c r="N26" s="62"/>
      <c r="O26" s="62"/>
      <c r="P26" s="62"/>
      <c r="Q26" s="62"/>
      <c r="R26" s="62"/>
      <c r="S26" s="62"/>
      <c r="T26" s="62"/>
      <c r="U26" s="62"/>
      <c r="V26" s="62"/>
      <c r="W26" s="63"/>
    </row>
  </sheetData>
  <mergeCells count="51">
    <mergeCell ref="F26:W26"/>
    <mergeCell ref="A1:W1"/>
    <mergeCell ref="B3:W3"/>
    <mergeCell ref="B5:W5"/>
    <mergeCell ref="V6:V9"/>
    <mergeCell ref="W6:W9"/>
    <mergeCell ref="A24:A25"/>
    <mergeCell ref="B24:B25"/>
    <mergeCell ref="C24:C25"/>
    <mergeCell ref="D24:D25"/>
    <mergeCell ref="E24:E25"/>
    <mergeCell ref="B18:B21"/>
    <mergeCell ref="A18:A21"/>
    <mergeCell ref="B22:B23"/>
    <mergeCell ref="A22:A23"/>
    <mergeCell ref="A4:S4"/>
    <mergeCell ref="B10:B14"/>
    <mergeCell ref="C18:C21"/>
    <mergeCell ref="D18:D21"/>
    <mergeCell ref="E18:E21"/>
    <mergeCell ref="C22:C23"/>
    <mergeCell ref="D22:D23"/>
    <mergeCell ref="E22:E23"/>
    <mergeCell ref="A15:E15"/>
    <mergeCell ref="A10:A14"/>
    <mergeCell ref="C10:C14"/>
    <mergeCell ref="D10:D14"/>
    <mergeCell ref="E10:E14"/>
    <mergeCell ref="G15:S15"/>
    <mergeCell ref="F6:F9"/>
    <mergeCell ref="G6:Q6"/>
    <mergeCell ref="G7:G9"/>
    <mergeCell ref="H7:H9"/>
    <mergeCell ref="J7:J9"/>
    <mergeCell ref="S6:S9"/>
    <mergeCell ref="I7:I9"/>
    <mergeCell ref="L7:L9"/>
    <mergeCell ref="K7:K9"/>
    <mergeCell ref="M7:M9"/>
    <mergeCell ref="N7:N9"/>
    <mergeCell ref="O7:O9"/>
    <mergeCell ref="A6:A9"/>
    <mergeCell ref="B6:B9"/>
    <mergeCell ref="C6:C9"/>
    <mergeCell ref="D6:D9"/>
    <mergeCell ref="E6:E9"/>
    <mergeCell ref="T6:T9"/>
    <mergeCell ref="U6:U9"/>
    <mergeCell ref="P7:P9"/>
    <mergeCell ref="Q7:Q9"/>
    <mergeCell ref="R7:R9"/>
  </mergeCells>
  <pageMargins left="0.27559055118110237" right="0.23622047244094491" top="0.39370078740157483" bottom="0.39370078740157483" header="0.31496062992125984" footer="0.31496062992125984"/>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W28"/>
  <sheetViews>
    <sheetView zoomScale="90" zoomScaleNormal="90" zoomScaleSheetLayoutView="100" workbookViewId="0">
      <selection activeCell="E9" sqref="E9"/>
    </sheetView>
  </sheetViews>
  <sheetFormatPr baseColWidth="10" defaultColWidth="11.42578125" defaultRowHeight="8.25" x14ac:dyDescent="0.15"/>
  <cols>
    <col min="1" max="1" width="22.5703125" style="1" customWidth="1"/>
    <col min="2" max="2" width="23.7109375" style="1" customWidth="1"/>
    <col min="3" max="3" width="17.85546875" style="1" customWidth="1"/>
    <col min="4" max="4" width="30.85546875" style="1" customWidth="1"/>
    <col min="5" max="5" width="9.85546875" style="1" customWidth="1"/>
    <col min="6" max="6" width="42.140625" style="7" customWidth="1"/>
    <col min="7" max="17" width="5.5703125" style="7" customWidth="1"/>
    <col min="18" max="18" width="5.85546875" style="7" customWidth="1"/>
    <col min="19" max="19" width="15.140625" style="1" customWidth="1"/>
    <col min="20" max="21" width="16.7109375" style="1" customWidth="1"/>
    <col min="22" max="16384" width="11.42578125" style="1"/>
  </cols>
  <sheetData>
    <row r="1" spans="1:23" ht="63.95" customHeight="1" x14ac:dyDescent="0.15">
      <c r="A1" s="64" t="s">
        <v>357</v>
      </c>
      <c r="B1" s="65"/>
      <c r="C1" s="65"/>
      <c r="D1" s="65"/>
      <c r="E1" s="65"/>
      <c r="F1" s="65"/>
      <c r="G1" s="65"/>
      <c r="H1" s="65"/>
      <c r="I1" s="65"/>
      <c r="J1" s="65"/>
      <c r="K1" s="65"/>
      <c r="L1" s="65"/>
      <c r="M1" s="65"/>
      <c r="N1" s="65"/>
      <c r="O1" s="65"/>
      <c r="P1" s="65"/>
      <c r="Q1" s="65"/>
      <c r="R1" s="65"/>
      <c r="S1" s="65"/>
      <c r="T1" s="65"/>
      <c r="U1" s="65"/>
      <c r="V1" s="65"/>
      <c r="W1" s="66"/>
    </row>
    <row r="2" spans="1:23" ht="14.45" customHeight="1" x14ac:dyDescent="0.15">
      <c r="A2" s="23"/>
      <c r="B2" s="24"/>
      <c r="C2" s="24"/>
      <c r="D2" s="24"/>
      <c r="E2" s="24"/>
      <c r="F2" s="24"/>
      <c r="G2" s="24"/>
      <c r="H2" s="24"/>
      <c r="I2" s="24"/>
      <c r="J2" s="24"/>
      <c r="K2" s="24"/>
      <c r="L2" s="24"/>
      <c r="M2" s="24"/>
      <c r="N2" s="24"/>
      <c r="O2" s="24"/>
      <c r="P2" s="24"/>
      <c r="Q2" s="24"/>
      <c r="R2" s="24"/>
      <c r="S2" s="24"/>
      <c r="T2" s="26"/>
      <c r="U2" s="26"/>
      <c r="V2" s="26"/>
      <c r="W2" s="26"/>
    </row>
    <row r="3" spans="1:23" ht="30" customHeight="1" x14ac:dyDescent="0.15">
      <c r="A3" s="10" t="s">
        <v>180</v>
      </c>
      <c r="B3" s="67" t="s">
        <v>128</v>
      </c>
      <c r="C3" s="68"/>
      <c r="D3" s="68"/>
      <c r="E3" s="68"/>
      <c r="F3" s="68"/>
      <c r="G3" s="68"/>
      <c r="H3" s="68"/>
      <c r="I3" s="68"/>
      <c r="J3" s="68"/>
      <c r="K3" s="68"/>
      <c r="L3" s="68"/>
      <c r="M3" s="68"/>
      <c r="N3" s="68"/>
      <c r="O3" s="68"/>
      <c r="P3" s="68"/>
      <c r="Q3" s="68"/>
      <c r="R3" s="68"/>
      <c r="S3" s="68"/>
      <c r="T3" s="68"/>
      <c r="U3" s="68"/>
      <c r="V3" s="68"/>
      <c r="W3" s="69"/>
    </row>
    <row r="4" spans="1:23" ht="15.75" x14ac:dyDescent="0.15">
      <c r="A4" s="76"/>
      <c r="B4" s="76"/>
      <c r="C4" s="76"/>
      <c r="D4" s="76"/>
      <c r="E4" s="76"/>
      <c r="F4" s="76"/>
      <c r="G4" s="76"/>
      <c r="H4" s="76"/>
      <c r="I4" s="76"/>
      <c r="J4" s="76"/>
      <c r="K4" s="76"/>
      <c r="L4" s="76"/>
      <c r="M4" s="76"/>
      <c r="N4" s="76"/>
      <c r="O4" s="76"/>
      <c r="P4" s="76"/>
      <c r="Q4" s="76"/>
      <c r="R4" s="76"/>
      <c r="S4" s="76"/>
      <c r="T4" s="26"/>
      <c r="U4" s="26"/>
      <c r="V4" s="26"/>
      <c r="W4" s="26"/>
    </row>
    <row r="5" spans="1:23" ht="33.950000000000003" customHeight="1" x14ac:dyDescent="0.15">
      <c r="A5" s="10" t="s">
        <v>106</v>
      </c>
      <c r="B5" s="78" t="s">
        <v>129</v>
      </c>
      <c r="C5" s="79"/>
      <c r="D5" s="79"/>
      <c r="E5" s="79"/>
      <c r="F5" s="79"/>
      <c r="G5" s="79"/>
      <c r="H5" s="79"/>
      <c r="I5" s="79"/>
      <c r="J5" s="79"/>
      <c r="K5" s="79"/>
      <c r="L5" s="79"/>
      <c r="M5" s="79"/>
      <c r="N5" s="79"/>
      <c r="O5" s="79"/>
      <c r="P5" s="79"/>
      <c r="Q5" s="79"/>
      <c r="R5" s="79"/>
      <c r="S5" s="79"/>
      <c r="T5" s="79"/>
      <c r="U5" s="79"/>
      <c r="V5" s="79"/>
      <c r="W5" s="80"/>
    </row>
    <row r="6" spans="1:23" ht="12.75" x14ac:dyDescent="0.15">
      <c r="A6" s="85"/>
      <c r="B6" s="85"/>
      <c r="C6" s="85"/>
      <c r="D6" s="85"/>
      <c r="E6" s="85"/>
      <c r="F6" s="85"/>
      <c r="G6" s="85"/>
      <c r="H6" s="85"/>
      <c r="I6" s="85"/>
      <c r="J6" s="85"/>
      <c r="K6" s="85"/>
      <c r="L6" s="85"/>
      <c r="M6" s="85"/>
      <c r="N6" s="85"/>
      <c r="O6" s="85"/>
      <c r="P6" s="85"/>
      <c r="Q6" s="85"/>
      <c r="R6" s="85"/>
      <c r="S6" s="85"/>
      <c r="T6" s="26"/>
      <c r="U6" s="26"/>
      <c r="V6" s="26"/>
      <c r="W6" s="26"/>
    </row>
    <row r="7" spans="1:23" ht="30" customHeight="1" x14ac:dyDescent="0.15">
      <c r="A7" s="52" t="s">
        <v>1</v>
      </c>
      <c r="B7" s="54" t="s">
        <v>2</v>
      </c>
      <c r="C7" s="53" t="s">
        <v>18</v>
      </c>
      <c r="D7" s="53" t="s">
        <v>28</v>
      </c>
      <c r="E7" s="54" t="s">
        <v>344</v>
      </c>
      <c r="F7" s="53" t="s">
        <v>93</v>
      </c>
      <c r="G7" s="53" t="s">
        <v>294</v>
      </c>
      <c r="H7" s="53"/>
      <c r="I7" s="53"/>
      <c r="J7" s="53"/>
      <c r="K7" s="53"/>
      <c r="L7" s="53"/>
      <c r="M7" s="53"/>
      <c r="N7" s="53"/>
      <c r="O7" s="53"/>
      <c r="P7" s="53"/>
      <c r="Q7" s="53"/>
      <c r="R7" s="53"/>
      <c r="S7" s="54" t="s">
        <v>0</v>
      </c>
      <c r="T7" s="83" t="s">
        <v>309</v>
      </c>
      <c r="U7" s="83" t="s">
        <v>308</v>
      </c>
      <c r="V7" s="81" t="s">
        <v>312</v>
      </c>
      <c r="W7" s="81" t="s">
        <v>313</v>
      </c>
    </row>
    <row r="8" spans="1:23" ht="73.5" customHeight="1" x14ac:dyDescent="0.15">
      <c r="A8" s="52"/>
      <c r="B8" s="54"/>
      <c r="C8" s="53"/>
      <c r="D8" s="53"/>
      <c r="E8" s="54"/>
      <c r="F8" s="53"/>
      <c r="G8" s="30" t="s">
        <v>295</v>
      </c>
      <c r="H8" s="30" t="s">
        <v>296</v>
      </c>
      <c r="I8" s="30" t="s">
        <v>297</v>
      </c>
      <c r="J8" s="30" t="s">
        <v>298</v>
      </c>
      <c r="K8" s="30" t="s">
        <v>299</v>
      </c>
      <c r="L8" s="30" t="s">
        <v>300</v>
      </c>
      <c r="M8" s="30" t="s">
        <v>301</v>
      </c>
      <c r="N8" s="30" t="s">
        <v>302</v>
      </c>
      <c r="O8" s="30" t="s">
        <v>303</v>
      </c>
      <c r="P8" s="30" t="s">
        <v>304</v>
      </c>
      <c r="Q8" s="30" t="s">
        <v>305</v>
      </c>
      <c r="R8" s="30" t="s">
        <v>306</v>
      </c>
      <c r="S8" s="54"/>
      <c r="T8" s="84"/>
      <c r="U8" s="84"/>
      <c r="V8" s="82"/>
      <c r="W8" s="82"/>
    </row>
    <row r="9" spans="1:23" ht="218.25" customHeight="1" x14ac:dyDescent="0.15">
      <c r="A9" s="60" t="s">
        <v>255</v>
      </c>
      <c r="B9" s="6" t="s">
        <v>257</v>
      </c>
      <c r="C9" s="12" t="s">
        <v>254</v>
      </c>
      <c r="D9" s="12" t="s">
        <v>256</v>
      </c>
      <c r="E9" s="12" t="s">
        <v>259</v>
      </c>
      <c r="F9" s="12" t="s">
        <v>258</v>
      </c>
      <c r="G9" s="12"/>
      <c r="H9" s="12"/>
      <c r="I9" s="12" t="s">
        <v>314</v>
      </c>
      <c r="J9" s="12"/>
      <c r="K9" s="12"/>
      <c r="L9" s="12" t="s">
        <v>314</v>
      </c>
      <c r="M9" s="12"/>
      <c r="N9" s="12"/>
      <c r="O9" s="12" t="s">
        <v>314</v>
      </c>
      <c r="P9" s="12"/>
      <c r="Q9" s="12"/>
      <c r="R9" s="12" t="s">
        <v>314</v>
      </c>
      <c r="S9" s="37" t="s">
        <v>322</v>
      </c>
      <c r="T9" s="37"/>
      <c r="U9" s="47"/>
      <c r="V9" s="41">
        <f>7425038/30*4</f>
        <v>990005.06666666665</v>
      </c>
      <c r="W9" s="26"/>
    </row>
    <row r="10" spans="1:23" ht="202.15" customHeight="1" x14ac:dyDescent="0.15">
      <c r="A10" s="60"/>
      <c r="B10" s="6" t="s">
        <v>263</v>
      </c>
      <c r="C10" s="12" t="s">
        <v>260</v>
      </c>
      <c r="D10" s="12" t="s">
        <v>261</v>
      </c>
      <c r="E10" s="12" t="s">
        <v>259</v>
      </c>
      <c r="F10" s="12" t="s">
        <v>263</v>
      </c>
      <c r="G10" s="12" t="s">
        <v>314</v>
      </c>
      <c r="H10" s="12" t="s">
        <v>314</v>
      </c>
      <c r="I10" s="12" t="s">
        <v>314</v>
      </c>
      <c r="J10" s="12" t="s">
        <v>314</v>
      </c>
      <c r="K10" s="12" t="s">
        <v>314</v>
      </c>
      <c r="L10" s="12" t="s">
        <v>314</v>
      </c>
      <c r="M10" s="12" t="s">
        <v>314</v>
      </c>
      <c r="N10" s="12" t="s">
        <v>314</v>
      </c>
      <c r="O10" s="12" t="s">
        <v>314</v>
      </c>
      <c r="P10" s="12" t="s">
        <v>314</v>
      </c>
      <c r="Q10" s="12" t="s">
        <v>314</v>
      </c>
      <c r="R10" s="12" t="s">
        <v>314</v>
      </c>
      <c r="S10" s="37" t="s">
        <v>262</v>
      </c>
      <c r="T10" s="37"/>
      <c r="U10" s="47"/>
      <c r="V10" s="41">
        <f>7425038/30*12</f>
        <v>2970015.2</v>
      </c>
      <c r="W10" s="26"/>
    </row>
    <row r="11" spans="1:23" ht="133.9" customHeight="1" x14ac:dyDescent="0.15">
      <c r="A11" s="60"/>
      <c r="B11" s="6" t="s">
        <v>267</v>
      </c>
      <c r="C11" s="12" t="s">
        <v>266</v>
      </c>
      <c r="D11" s="12" t="s">
        <v>264</v>
      </c>
      <c r="E11" s="12" t="s">
        <v>265</v>
      </c>
      <c r="F11" s="12" t="s">
        <v>267</v>
      </c>
      <c r="G11" s="12" t="s">
        <v>314</v>
      </c>
      <c r="H11" s="12" t="s">
        <v>314</v>
      </c>
      <c r="I11" s="12" t="s">
        <v>314</v>
      </c>
      <c r="J11" s="12" t="s">
        <v>314</v>
      </c>
      <c r="K11" s="12" t="s">
        <v>314</v>
      </c>
      <c r="L11" s="12" t="s">
        <v>314</v>
      </c>
      <c r="M11" s="12" t="s">
        <v>314</v>
      </c>
      <c r="N11" s="12" t="s">
        <v>314</v>
      </c>
      <c r="O11" s="12" t="s">
        <v>314</v>
      </c>
      <c r="P11" s="12" t="s">
        <v>314</v>
      </c>
      <c r="Q11" s="12" t="s">
        <v>314</v>
      </c>
      <c r="R11" s="12" t="s">
        <v>314</v>
      </c>
      <c r="S11" s="37" t="s">
        <v>262</v>
      </c>
      <c r="T11" s="37"/>
      <c r="U11" s="47"/>
      <c r="V11" s="41">
        <f>7425038/30*12</f>
        <v>2970015.2</v>
      </c>
      <c r="W11" s="26"/>
    </row>
    <row r="12" spans="1:23" ht="133.9" customHeight="1" x14ac:dyDescent="0.15">
      <c r="A12" s="60"/>
      <c r="B12" s="6" t="s">
        <v>270</v>
      </c>
      <c r="C12" s="12" t="s">
        <v>268</v>
      </c>
      <c r="D12" s="12" t="s">
        <v>269</v>
      </c>
      <c r="E12" s="12">
        <v>0</v>
      </c>
      <c r="F12" s="12" t="s">
        <v>270</v>
      </c>
      <c r="G12" s="12" t="s">
        <v>314</v>
      </c>
      <c r="H12" s="12" t="s">
        <v>314</v>
      </c>
      <c r="I12" s="12" t="s">
        <v>314</v>
      </c>
      <c r="J12" s="12" t="s">
        <v>314</v>
      </c>
      <c r="K12" s="12" t="s">
        <v>314</v>
      </c>
      <c r="L12" s="12" t="s">
        <v>314</v>
      </c>
      <c r="M12" s="12" t="s">
        <v>314</v>
      </c>
      <c r="N12" s="12" t="s">
        <v>314</v>
      </c>
      <c r="O12" s="12" t="s">
        <v>314</v>
      </c>
      <c r="P12" s="12" t="s">
        <v>314</v>
      </c>
      <c r="Q12" s="12" t="s">
        <v>314</v>
      </c>
      <c r="R12" s="12" t="s">
        <v>314</v>
      </c>
      <c r="S12" s="37" t="s">
        <v>315</v>
      </c>
      <c r="T12" s="37"/>
      <c r="U12" s="47"/>
      <c r="V12" s="41">
        <f>7425038/30*12</f>
        <v>2970015.2</v>
      </c>
      <c r="W12" s="26"/>
    </row>
    <row r="13" spans="1:23" ht="133.9" customHeight="1" x14ac:dyDescent="0.15">
      <c r="A13" s="60"/>
      <c r="B13" s="6" t="s">
        <v>274</v>
      </c>
      <c r="C13" s="12" t="s">
        <v>271</v>
      </c>
      <c r="D13" s="12" t="s">
        <v>272</v>
      </c>
      <c r="E13" s="12" t="s">
        <v>273</v>
      </c>
      <c r="F13" s="12" t="s">
        <v>274</v>
      </c>
      <c r="G13" s="12" t="s">
        <v>314</v>
      </c>
      <c r="H13" s="12" t="s">
        <v>314</v>
      </c>
      <c r="I13" s="12" t="s">
        <v>314</v>
      </c>
      <c r="J13" s="12" t="s">
        <v>314</v>
      </c>
      <c r="K13" s="12" t="s">
        <v>314</v>
      </c>
      <c r="L13" s="12" t="s">
        <v>314</v>
      </c>
      <c r="M13" s="12" t="s">
        <v>314</v>
      </c>
      <c r="N13" s="12" t="s">
        <v>314</v>
      </c>
      <c r="O13" s="12" t="s">
        <v>314</v>
      </c>
      <c r="P13" s="12" t="s">
        <v>314</v>
      </c>
      <c r="Q13" s="12" t="s">
        <v>314</v>
      </c>
      <c r="R13" s="12" t="s">
        <v>314</v>
      </c>
      <c r="S13" s="37" t="s">
        <v>262</v>
      </c>
      <c r="T13" s="37"/>
      <c r="U13" s="47"/>
      <c r="V13" s="41">
        <f>7425038/30*12</f>
        <v>2970015.2</v>
      </c>
      <c r="W13" s="26"/>
    </row>
    <row r="14" spans="1:23" ht="133.9" customHeight="1" x14ac:dyDescent="0.15">
      <c r="A14" s="60"/>
      <c r="B14" s="6" t="s">
        <v>277</v>
      </c>
      <c r="C14" s="12" t="s">
        <v>275</v>
      </c>
      <c r="D14" s="12" t="s">
        <v>276</v>
      </c>
      <c r="E14" s="12">
        <v>1</v>
      </c>
      <c r="F14" s="12" t="s">
        <v>278</v>
      </c>
      <c r="G14" s="12" t="s">
        <v>314</v>
      </c>
      <c r="H14" s="12" t="s">
        <v>314</v>
      </c>
      <c r="I14" s="12" t="s">
        <v>314</v>
      </c>
      <c r="J14" s="12" t="s">
        <v>314</v>
      </c>
      <c r="K14" s="12" t="s">
        <v>314</v>
      </c>
      <c r="L14" s="12" t="s">
        <v>314</v>
      </c>
      <c r="M14" s="12" t="s">
        <v>314</v>
      </c>
      <c r="N14" s="12" t="s">
        <v>314</v>
      </c>
      <c r="O14" s="12" t="s">
        <v>314</v>
      </c>
      <c r="P14" s="12" t="s">
        <v>314</v>
      </c>
      <c r="Q14" s="12" t="s">
        <v>314</v>
      </c>
      <c r="R14" s="12" t="s">
        <v>314</v>
      </c>
      <c r="S14" s="37" t="s">
        <v>315</v>
      </c>
      <c r="T14" s="37"/>
      <c r="U14" s="47"/>
      <c r="V14" s="41">
        <f>7425038/30*12</f>
        <v>2970015.2</v>
      </c>
      <c r="W14" s="26"/>
    </row>
    <row r="15" spans="1:23" ht="133.9" customHeight="1" x14ac:dyDescent="0.15">
      <c r="A15" s="60"/>
      <c r="B15" s="6" t="s">
        <v>282</v>
      </c>
      <c r="C15" s="12" t="s">
        <v>279</v>
      </c>
      <c r="D15" s="12" t="s">
        <v>280</v>
      </c>
      <c r="E15" s="12" t="s">
        <v>281</v>
      </c>
      <c r="F15" s="12" t="s">
        <v>283</v>
      </c>
      <c r="G15" s="12" t="s">
        <v>314</v>
      </c>
      <c r="H15" s="12" t="s">
        <v>314</v>
      </c>
      <c r="I15" s="12" t="s">
        <v>314</v>
      </c>
      <c r="J15" s="12" t="s">
        <v>314</v>
      </c>
      <c r="K15" s="12" t="s">
        <v>314</v>
      </c>
      <c r="L15" s="12" t="s">
        <v>314</v>
      </c>
      <c r="M15" s="12" t="s">
        <v>314</v>
      </c>
      <c r="N15" s="12" t="s">
        <v>314</v>
      </c>
      <c r="O15" s="12" t="s">
        <v>314</v>
      </c>
      <c r="P15" s="12" t="s">
        <v>314</v>
      </c>
      <c r="Q15" s="12" t="s">
        <v>314</v>
      </c>
      <c r="R15" s="12" t="s">
        <v>314</v>
      </c>
      <c r="S15" s="37" t="s">
        <v>316</v>
      </c>
      <c r="T15" s="37"/>
      <c r="U15" s="47"/>
      <c r="V15" s="41">
        <f>5424345/30*12</f>
        <v>2169738</v>
      </c>
      <c r="W15" s="26"/>
    </row>
    <row r="16" spans="1:23" ht="133.9" customHeight="1" x14ac:dyDescent="0.15">
      <c r="A16" s="60"/>
      <c r="B16" s="6" t="s">
        <v>287</v>
      </c>
      <c r="C16" s="12" t="s">
        <v>284</v>
      </c>
      <c r="D16" s="12" t="s">
        <v>285</v>
      </c>
      <c r="E16" s="12" t="s">
        <v>286</v>
      </c>
      <c r="F16" s="12" t="s">
        <v>288</v>
      </c>
      <c r="G16" s="12" t="s">
        <v>314</v>
      </c>
      <c r="H16" s="12" t="s">
        <v>314</v>
      </c>
      <c r="I16" s="12" t="s">
        <v>314</v>
      </c>
      <c r="J16" s="12" t="s">
        <v>314</v>
      </c>
      <c r="K16" s="12" t="s">
        <v>314</v>
      </c>
      <c r="L16" s="12" t="s">
        <v>314</v>
      </c>
      <c r="M16" s="12" t="s">
        <v>314</v>
      </c>
      <c r="N16" s="12" t="s">
        <v>314</v>
      </c>
      <c r="O16" s="12" t="s">
        <v>314</v>
      </c>
      <c r="P16" s="12" t="s">
        <v>314</v>
      </c>
      <c r="Q16" s="12" t="s">
        <v>314</v>
      </c>
      <c r="R16" s="12" t="s">
        <v>314</v>
      </c>
      <c r="S16" s="37" t="s">
        <v>316</v>
      </c>
      <c r="T16" s="37"/>
      <c r="U16" s="47"/>
      <c r="V16" s="41">
        <f>5424345/30*12</f>
        <v>2169738</v>
      </c>
      <c r="W16" s="26"/>
    </row>
    <row r="17" spans="1:23" ht="133.9" customHeight="1" x14ac:dyDescent="0.15">
      <c r="A17" s="60"/>
      <c r="B17" s="6" t="s">
        <v>292</v>
      </c>
      <c r="C17" s="12" t="s">
        <v>289</v>
      </c>
      <c r="D17" s="12" t="s">
        <v>290</v>
      </c>
      <c r="E17" s="12" t="s">
        <v>291</v>
      </c>
      <c r="F17" s="12" t="s">
        <v>293</v>
      </c>
      <c r="G17" s="12" t="s">
        <v>314</v>
      </c>
      <c r="H17" s="12" t="s">
        <v>314</v>
      </c>
      <c r="I17" s="12" t="s">
        <v>314</v>
      </c>
      <c r="J17" s="12" t="s">
        <v>314</v>
      </c>
      <c r="K17" s="12" t="s">
        <v>314</v>
      </c>
      <c r="L17" s="12" t="s">
        <v>314</v>
      </c>
      <c r="M17" s="12" t="s">
        <v>314</v>
      </c>
      <c r="N17" s="12" t="s">
        <v>314</v>
      </c>
      <c r="O17" s="12" t="s">
        <v>314</v>
      </c>
      <c r="P17" s="12" t="s">
        <v>314</v>
      </c>
      <c r="Q17" s="12" t="s">
        <v>314</v>
      </c>
      <c r="R17" s="12" t="s">
        <v>314</v>
      </c>
      <c r="S17" s="37" t="s">
        <v>316</v>
      </c>
      <c r="T17" s="37"/>
      <c r="U17" s="47"/>
      <c r="V17" s="41">
        <f>5424345/30*12</f>
        <v>2169738</v>
      </c>
      <c r="W17" s="26"/>
    </row>
    <row r="18" spans="1:23" ht="51" customHeight="1" x14ac:dyDescent="0.15">
      <c r="A18" s="60" t="s">
        <v>132</v>
      </c>
      <c r="B18" s="77" t="s">
        <v>133</v>
      </c>
      <c r="C18" s="59" t="s">
        <v>40</v>
      </c>
      <c r="D18" s="59" t="s">
        <v>91</v>
      </c>
      <c r="E18" s="60" t="s">
        <v>84</v>
      </c>
      <c r="F18" s="17" t="s">
        <v>130</v>
      </c>
      <c r="G18" s="18"/>
      <c r="H18" s="18"/>
      <c r="I18" s="12" t="s">
        <v>314</v>
      </c>
      <c r="J18" s="18"/>
      <c r="K18" s="18"/>
      <c r="L18" s="12" t="s">
        <v>314</v>
      </c>
      <c r="M18" s="18"/>
      <c r="N18" s="18"/>
      <c r="O18" s="12" t="s">
        <v>314</v>
      </c>
      <c r="P18" s="18"/>
      <c r="Q18" s="18"/>
      <c r="R18" s="12" t="s">
        <v>314</v>
      </c>
      <c r="S18" s="37" t="s">
        <v>322</v>
      </c>
      <c r="T18" s="37"/>
      <c r="U18" s="47"/>
      <c r="V18" s="41">
        <f>7425038/30*4</f>
        <v>990005.06666666665</v>
      </c>
      <c r="W18" s="26"/>
    </row>
    <row r="19" spans="1:23" ht="51" x14ac:dyDescent="0.15">
      <c r="A19" s="60"/>
      <c r="B19" s="77"/>
      <c r="C19" s="59"/>
      <c r="D19" s="59"/>
      <c r="E19" s="60"/>
      <c r="F19" s="13" t="s">
        <v>131</v>
      </c>
      <c r="G19" s="12" t="s">
        <v>314</v>
      </c>
      <c r="H19" s="12" t="s">
        <v>314</v>
      </c>
      <c r="I19" s="12" t="s">
        <v>314</v>
      </c>
      <c r="J19" s="12" t="s">
        <v>314</v>
      </c>
      <c r="K19" s="12" t="s">
        <v>314</v>
      </c>
      <c r="L19" s="12" t="s">
        <v>314</v>
      </c>
      <c r="M19" s="12" t="s">
        <v>314</v>
      </c>
      <c r="N19" s="12" t="s">
        <v>314</v>
      </c>
      <c r="O19" s="12" t="s">
        <v>314</v>
      </c>
      <c r="P19" s="12" t="s">
        <v>314</v>
      </c>
      <c r="Q19" s="12" t="s">
        <v>314</v>
      </c>
      <c r="R19" s="12" t="s">
        <v>314</v>
      </c>
      <c r="S19" s="37" t="s">
        <v>322</v>
      </c>
      <c r="T19" s="37"/>
      <c r="U19" s="47"/>
      <c r="V19" s="41">
        <f>7425038/30*12</f>
        <v>2970015.2</v>
      </c>
      <c r="W19" s="26"/>
    </row>
    <row r="20" spans="1:23" ht="42.95" customHeight="1" x14ac:dyDescent="0.15">
      <c r="A20" s="60"/>
      <c r="B20" s="77"/>
      <c r="C20" s="59"/>
      <c r="D20" s="59"/>
      <c r="E20" s="60"/>
      <c r="F20" s="13" t="s">
        <v>134</v>
      </c>
      <c r="G20" s="33"/>
      <c r="H20" s="33"/>
      <c r="I20" s="33"/>
      <c r="J20" s="33"/>
      <c r="K20" s="33"/>
      <c r="L20" s="12" t="s">
        <v>314</v>
      </c>
      <c r="M20" s="33"/>
      <c r="N20" s="33"/>
      <c r="O20" s="33"/>
      <c r="P20" s="33"/>
      <c r="Q20" s="33"/>
      <c r="R20" s="12" t="s">
        <v>314</v>
      </c>
      <c r="S20" s="37" t="s">
        <v>322</v>
      </c>
      <c r="T20" s="37"/>
      <c r="U20" s="47"/>
      <c r="V20" s="41">
        <f>7425038/30*2</f>
        <v>495002.53333333333</v>
      </c>
      <c r="W20" s="26"/>
    </row>
    <row r="21" spans="1:23" ht="24.75" customHeight="1" x14ac:dyDescent="0.15">
      <c r="A21" s="26"/>
      <c r="B21" s="26"/>
      <c r="C21" s="26"/>
      <c r="D21" s="26"/>
      <c r="E21" s="26"/>
      <c r="F21" s="61" t="s">
        <v>343</v>
      </c>
      <c r="G21" s="62"/>
      <c r="H21" s="62"/>
      <c r="I21" s="62"/>
      <c r="J21" s="62"/>
      <c r="K21" s="62"/>
      <c r="L21" s="62"/>
      <c r="M21" s="62"/>
      <c r="N21" s="62"/>
      <c r="O21" s="62"/>
      <c r="P21" s="62"/>
      <c r="Q21" s="62"/>
      <c r="R21" s="62"/>
      <c r="S21" s="62"/>
      <c r="T21" s="62"/>
      <c r="U21" s="62"/>
      <c r="V21" s="62"/>
      <c r="W21" s="63"/>
    </row>
    <row r="22" spans="1:23" x14ac:dyDescent="0.15">
      <c r="F22" s="14"/>
      <c r="G22" s="14"/>
      <c r="H22" s="14"/>
      <c r="I22" s="14"/>
      <c r="J22" s="14"/>
      <c r="K22" s="14"/>
      <c r="L22" s="14"/>
      <c r="M22" s="14"/>
      <c r="N22" s="14"/>
      <c r="O22" s="14"/>
      <c r="P22" s="14"/>
      <c r="Q22" s="14"/>
      <c r="R22" s="14"/>
    </row>
    <row r="23" spans="1:23" x14ac:dyDescent="0.15">
      <c r="F23" s="14"/>
      <c r="G23" s="14"/>
      <c r="H23" s="14"/>
      <c r="I23" s="14"/>
      <c r="J23" s="14"/>
      <c r="K23" s="14"/>
      <c r="L23" s="14"/>
      <c r="M23" s="14"/>
      <c r="N23" s="14"/>
      <c r="O23" s="14"/>
      <c r="P23" s="14"/>
      <c r="Q23" s="14"/>
      <c r="R23" s="14"/>
    </row>
    <row r="24" spans="1:23" x14ac:dyDescent="0.15">
      <c r="F24" s="14"/>
      <c r="G24" s="14"/>
      <c r="H24" s="14"/>
      <c r="I24" s="14"/>
      <c r="J24" s="14"/>
      <c r="K24" s="14"/>
      <c r="L24" s="14"/>
      <c r="M24" s="14"/>
      <c r="N24" s="14"/>
      <c r="O24" s="14"/>
      <c r="P24" s="14"/>
      <c r="Q24" s="14"/>
      <c r="R24" s="14"/>
    </row>
    <row r="25" spans="1:23" x14ac:dyDescent="0.15">
      <c r="F25" s="14"/>
      <c r="G25" s="14"/>
      <c r="H25" s="14"/>
      <c r="I25" s="14"/>
      <c r="J25" s="14"/>
      <c r="K25" s="14"/>
      <c r="L25" s="14"/>
      <c r="M25" s="14"/>
      <c r="N25" s="14"/>
      <c r="O25" s="14"/>
      <c r="P25" s="14"/>
      <c r="Q25" s="14"/>
      <c r="R25" s="14"/>
    </row>
    <row r="26" spans="1:23" x14ac:dyDescent="0.15">
      <c r="F26" s="14"/>
      <c r="G26" s="14"/>
      <c r="H26" s="14"/>
      <c r="I26" s="14"/>
      <c r="J26" s="14"/>
      <c r="K26" s="14"/>
      <c r="L26" s="14"/>
      <c r="M26" s="14"/>
      <c r="N26" s="14"/>
      <c r="O26" s="14"/>
      <c r="P26" s="14"/>
      <c r="Q26" s="14"/>
      <c r="R26" s="14"/>
    </row>
    <row r="28" spans="1:23" x14ac:dyDescent="0.15">
      <c r="F28" s="11"/>
      <c r="G28" s="11"/>
      <c r="H28" s="11"/>
      <c r="I28" s="11"/>
      <c r="J28" s="11"/>
      <c r="K28" s="11"/>
      <c r="L28" s="11"/>
      <c r="M28" s="11"/>
      <c r="N28" s="11"/>
      <c r="O28" s="11"/>
      <c r="P28" s="11"/>
      <c r="Q28" s="11"/>
      <c r="R28" s="11"/>
    </row>
  </sheetData>
  <mergeCells count="24">
    <mergeCell ref="A1:W1"/>
    <mergeCell ref="B3:W3"/>
    <mergeCell ref="B5:W5"/>
    <mergeCell ref="V7:V8"/>
    <mergeCell ref="W7:W8"/>
    <mergeCell ref="F7:F8"/>
    <mergeCell ref="S7:S8"/>
    <mergeCell ref="T7:T8"/>
    <mergeCell ref="U7:U8"/>
    <mergeCell ref="A4:S4"/>
    <mergeCell ref="A6:S6"/>
    <mergeCell ref="G7:R7"/>
    <mergeCell ref="F21:W21"/>
    <mergeCell ref="E18:E20"/>
    <mergeCell ref="B7:B8"/>
    <mergeCell ref="C7:C8"/>
    <mergeCell ref="A18:A20"/>
    <mergeCell ref="B18:B20"/>
    <mergeCell ref="A7:A8"/>
    <mergeCell ref="C18:C20"/>
    <mergeCell ref="D18:D20"/>
    <mergeCell ref="A9:A17"/>
    <mergeCell ref="D7:D8"/>
    <mergeCell ref="E7:E8"/>
  </mergeCells>
  <pageMargins left="0.19685039370078741" right="0.31496062992125984" top="0.39370078740157483" bottom="0.39370078740157483" header="0.31496062992125984" footer="0.31496062992125984"/>
  <pageSetup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AB31"/>
  <sheetViews>
    <sheetView zoomScaleNormal="100" workbookViewId="0">
      <selection activeCell="A2" sqref="A2"/>
    </sheetView>
  </sheetViews>
  <sheetFormatPr baseColWidth="10" defaultColWidth="11.42578125" defaultRowHeight="14.25" x14ac:dyDescent="0.2"/>
  <cols>
    <col min="1" max="1" width="18.42578125" style="3" customWidth="1"/>
    <col min="2" max="2" width="31.28515625" style="3" customWidth="1"/>
    <col min="3" max="3" width="17.85546875" style="3" customWidth="1"/>
    <col min="4" max="4" width="29.7109375" style="3" customWidth="1"/>
    <col min="5" max="5" width="8.7109375" style="3" customWidth="1"/>
    <col min="6" max="6" width="44" style="3" customWidth="1"/>
    <col min="7" max="18" width="5.140625" style="3" customWidth="1"/>
    <col min="19" max="19" width="15.7109375" style="3" customWidth="1"/>
    <col min="20" max="20" width="14" style="3" customWidth="1"/>
    <col min="21" max="21" width="14.140625" style="3" customWidth="1"/>
    <col min="22" max="22" width="14.7109375" style="3" bestFit="1" customWidth="1"/>
    <col min="23" max="16384" width="11.42578125" style="3"/>
  </cols>
  <sheetData>
    <row r="1" spans="1:23" s="1" customFormat="1" ht="60.95" customHeight="1" x14ac:dyDescent="0.15">
      <c r="A1" s="64" t="s">
        <v>357</v>
      </c>
      <c r="B1" s="65"/>
      <c r="C1" s="65"/>
      <c r="D1" s="65"/>
      <c r="E1" s="65"/>
      <c r="F1" s="65"/>
      <c r="G1" s="65"/>
      <c r="H1" s="65"/>
      <c r="I1" s="65"/>
      <c r="J1" s="65"/>
      <c r="K1" s="65"/>
      <c r="L1" s="65"/>
      <c r="M1" s="65"/>
      <c r="N1" s="65"/>
      <c r="O1" s="65"/>
      <c r="P1" s="65"/>
      <c r="Q1" s="65"/>
      <c r="R1" s="65"/>
      <c r="S1" s="65"/>
      <c r="T1" s="65"/>
      <c r="U1" s="65"/>
      <c r="V1" s="65"/>
      <c r="W1" s="66"/>
    </row>
    <row r="2" spans="1:23" s="1" customFormat="1" ht="18" x14ac:dyDescent="0.15">
      <c r="A2" s="23"/>
      <c r="B2" s="24"/>
      <c r="C2" s="24"/>
      <c r="D2" s="24"/>
      <c r="E2" s="24"/>
      <c r="F2" s="24"/>
      <c r="G2" s="24"/>
      <c r="H2" s="24"/>
      <c r="I2" s="24"/>
      <c r="J2" s="24"/>
      <c r="K2" s="24"/>
      <c r="L2" s="24"/>
      <c r="M2" s="24"/>
      <c r="N2" s="24"/>
      <c r="O2" s="24"/>
      <c r="P2" s="24"/>
      <c r="Q2" s="24"/>
      <c r="R2" s="24"/>
      <c r="S2" s="24"/>
      <c r="T2" s="26"/>
      <c r="U2" s="26"/>
      <c r="V2" s="26"/>
      <c r="W2" s="26"/>
    </row>
    <row r="3" spans="1:23" ht="45.75" customHeight="1" x14ac:dyDescent="0.2">
      <c r="A3" s="10" t="s">
        <v>136</v>
      </c>
      <c r="B3" s="67" t="s">
        <v>135</v>
      </c>
      <c r="C3" s="68"/>
      <c r="D3" s="68"/>
      <c r="E3" s="68"/>
      <c r="F3" s="68"/>
      <c r="G3" s="68"/>
      <c r="H3" s="68"/>
      <c r="I3" s="68"/>
      <c r="J3" s="68"/>
      <c r="K3" s="68"/>
      <c r="L3" s="68"/>
      <c r="M3" s="68"/>
      <c r="N3" s="68"/>
      <c r="O3" s="68"/>
      <c r="P3" s="68"/>
      <c r="Q3" s="68"/>
      <c r="R3" s="68"/>
      <c r="S3" s="68"/>
      <c r="T3" s="68"/>
      <c r="U3" s="68"/>
      <c r="V3" s="68"/>
      <c r="W3" s="69"/>
    </row>
    <row r="4" spans="1:23" ht="15.75" x14ac:dyDescent="0.2">
      <c r="A4" s="76"/>
      <c r="B4" s="76"/>
      <c r="C4" s="76"/>
      <c r="D4" s="76"/>
      <c r="E4" s="76"/>
      <c r="F4" s="76"/>
      <c r="G4" s="76"/>
      <c r="H4" s="76"/>
      <c r="I4" s="76"/>
      <c r="J4" s="76"/>
      <c r="K4" s="76"/>
      <c r="L4" s="76"/>
      <c r="M4" s="76"/>
      <c r="N4" s="76"/>
      <c r="O4" s="76"/>
      <c r="P4" s="76"/>
      <c r="Q4" s="76"/>
      <c r="R4" s="76"/>
      <c r="S4" s="76"/>
      <c r="T4" s="27"/>
      <c r="U4" s="27"/>
      <c r="V4" s="27"/>
      <c r="W4" s="27"/>
    </row>
    <row r="5" spans="1:23" ht="47.25" customHeight="1" x14ac:dyDescent="0.2">
      <c r="A5" s="10" t="s">
        <v>106</v>
      </c>
      <c r="B5" s="78" t="s">
        <v>4</v>
      </c>
      <c r="C5" s="79"/>
      <c r="D5" s="79"/>
      <c r="E5" s="79"/>
      <c r="F5" s="79"/>
      <c r="G5" s="79"/>
      <c r="H5" s="79"/>
      <c r="I5" s="79"/>
      <c r="J5" s="79"/>
      <c r="K5" s="79"/>
      <c r="L5" s="79"/>
      <c r="M5" s="79"/>
      <c r="N5" s="79"/>
      <c r="O5" s="79"/>
      <c r="P5" s="79"/>
      <c r="Q5" s="79"/>
      <c r="R5" s="79"/>
      <c r="S5" s="79"/>
      <c r="T5" s="79"/>
      <c r="U5" s="79"/>
      <c r="V5" s="79"/>
      <c r="W5" s="80"/>
    </row>
    <row r="6" spans="1:23" ht="12" customHeight="1" x14ac:dyDescent="0.2">
      <c r="A6" s="85"/>
      <c r="B6" s="85"/>
      <c r="C6" s="85"/>
      <c r="D6" s="85"/>
      <c r="E6" s="85"/>
      <c r="F6" s="85"/>
      <c r="G6" s="85"/>
      <c r="H6" s="85"/>
      <c r="I6" s="85"/>
      <c r="J6" s="85"/>
      <c r="K6" s="85"/>
      <c r="L6" s="85"/>
      <c r="M6" s="85"/>
      <c r="N6" s="85"/>
      <c r="O6" s="85"/>
      <c r="P6" s="85"/>
      <c r="Q6" s="85"/>
      <c r="R6" s="85"/>
      <c r="S6" s="85"/>
      <c r="T6" s="27"/>
      <c r="U6" s="27"/>
      <c r="V6" s="27"/>
      <c r="W6" s="27"/>
    </row>
    <row r="7" spans="1:23" x14ac:dyDescent="0.2">
      <c r="A7" s="52" t="s">
        <v>1</v>
      </c>
      <c r="B7" s="54" t="s">
        <v>2</v>
      </c>
      <c r="C7" s="53" t="s">
        <v>18</v>
      </c>
      <c r="D7" s="53" t="s">
        <v>28</v>
      </c>
      <c r="E7" s="54" t="s">
        <v>344</v>
      </c>
      <c r="F7" s="53" t="s">
        <v>41</v>
      </c>
      <c r="G7" s="53" t="s">
        <v>294</v>
      </c>
      <c r="H7" s="53"/>
      <c r="I7" s="53"/>
      <c r="J7" s="53"/>
      <c r="K7" s="53"/>
      <c r="L7" s="53"/>
      <c r="M7" s="53"/>
      <c r="N7" s="53"/>
      <c r="O7" s="53"/>
      <c r="P7" s="53"/>
      <c r="Q7" s="53"/>
      <c r="R7" s="53"/>
      <c r="S7" s="54" t="s">
        <v>0</v>
      </c>
      <c r="T7" s="90" t="s">
        <v>309</v>
      </c>
      <c r="U7" s="90" t="s">
        <v>308</v>
      </c>
      <c r="V7" s="73" t="s">
        <v>312</v>
      </c>
      <c r="W7" s="73" t="s">
        <v>313</v>
      </c>
    </row>
    <row r="8" spans="1:23" ht="72.75" customHeight="1" x14ac:dyDescent="0.2">
      <c r="A8" s="52"/>
      <c r="B8" s="54"/>
      <c r="C8" s="53"/>
      <c r="D8" s="53"/>
      <c r="E8" s="54"/>
      <c r="F8" s="53"/>
      <c r="G8" s="30" t="s">
        <v>295</v>
      </c>
      <c r="H8" s="30" t="s">
        <v>296</v>
      </c>
      <c r="I8" s="30" t="s">
        <v>297</v>
      </c>
      <c r="J8" s="30" t="s">
        <v>298</v>
      </c>
      <c r="K8" s="30" t="s">
        <v>299</v>
      </c>
      <c r="L8" s="30" t="s">
        <v>300</v>
      </c>
      <c r="M8" s="30" t="s">
        <v>301</v>
      </c>
      <c r="N8" s="30" t="s">
        <v>302</v>
      </c>
      <c r="O8" s="30" t="s">
        <v>303</v>
      </c>
      <c r="P8" s="30" t="s">
        <v>310</v>
      </c>
      <c r="Q8" s="30" t="s">
        <v>305</v>
      </c>
      <c r="R8" s="30" t="s">
        <v>306</v>
      </c>
      <c r="S8" s="54"/>
      <c r="T8" s="90"/>
      <c r="U8" s="90"/>
      <c r="V8" s="75"/>
      <c r="W8" s="75"/>
    </row>
    <row r="9" spans="1:23" ht="89.25" x14ac:dyDescent="0.2">
      <c r="A9" s="19" t="s">
        <v>137</v>
      </c>
      <c r="B9" s="19" t="s">
        <v>160</v>
      </c>
      <c r="C9" s="19" t="s">
        <v>46</v>
      </c>
      <c r="D9" s="19" t="s">
        <v>48</v>
      </c>
      <c r="E9" s="19" t="s">
        <v>47</v>
      </c>
      <c r="F9" s="17" t="s">
        <v>138</v>
      </c>
      <c r="G9" s="18" t="s">
        <v>314</v>
      </c>
      <c r="H9" s="18" t="s">
        <v>314</v>
      </c>
      <c r="I9" s="18" t="s">
        <v>314</v>
      </c>
      <c r="J9" s="18" t="s">
        <v>314</v>
      </c>
      <c r="K9" s="18" t="s">
        <v>314</v>
      </c>
      <c r="L9" s="18" t="s">
        <v>314</v>
      </c>
      <c r="M9" s="18" t="s">
        <v>314</v>
      </c>
      <c r="N9" s="18" t="s">
        <v>314</v>
      </c>
      <c r="O9" s="18" t="s">
        <v>314</v>
      </c>
      <c r="P9" s="18" t="s">
        <v>314</v>
      </c>
      <c r="Q9" s="18" t="s">
        <v>314</v>
      </c>
      <c r="R9" s="18" t="s">
        <v>314</v>
      </c>
      <c r="S9" s="38" t="s">
        <v>329</v>
      </c>
      <c r="T9" s="38"/>
      <c r="U9" s="43"/>
      <c r="V9" s="32">
        <f>(3077430/30*2+9790975/30)*12</f>
        <v>6378333.9999999991</v>
      </c>
      <c r="W9" s="27"/>
    </row>
    <row r="10" spans="1:23" ht="76.5" x14ac:dyDescent="0.2">
      <c r="A10" s="19" t="s">
        <v>139</v>
      </c>
      <c r="B10" s="19" t="s">
        <v>141</v>
      </c>
      <c r="C10" s="19" t="s">
        <v>44</v>
      </c>
      <c r="D10" s="19" t="s">
        <v>45</v>
      </c>
      <c r="E10" s="18" t="s">
        <v>83</v>
      </c>
      <c r="F10" s="17" t="s">
        <v>143</v>
      </c>
      <c r="G10" s="18"/>
      <c r="H10" s="18"/>
      <c r="I10" s="18" t="s">
        <v>314</v>
      </c>
      <c r="J10" s="18"/>
      <c r="K10" s="18"/>
      <c r="L10" s="18" t="s">
        <v>314</v>
      </c>
      <c r="M10" s="18"/>
      <c r="N10" s="18"/>
      <c r="O10" s="18" t="s">
        <v>314</v>
      </c>
      <c r="P10" s="18"/>
      <c r="Q10" s="18"/>
      <c r="R10" s="18" t="s">
        <v>314</v>
      </c>
      <c r="S10" s="38" t="s">
        <v>345</v>
      </c>
      <c r="T10" s="38"/>
      <c r="U10" s="43"/>
      <c r="V10" s="32">
        <f>(2638795/30*4+9790975/30*4)</f>
        <v>1657302.6666666665</v>
      </c>
      <c r="W10" s="27"/>
    </row>
    <row r="11" spans="1:23" ht="25.5" x14ac:dyDescent="0.2">
      <c r="A11" s="59" t="s">
        <v>140</v>
      </c>
      <c r="B11" s="59" t="s">
        <v>142</v>
      </c>
      <c r="C11" s="59" t="s">
        <v>42</v>
      </c>
      <c r="D11" s="59" t="s">
        <v>43</v>
      </c>
      <c r="E11" s="89" t="s">
        <v>83</v>
      </c>
      <c r="F11" s="17" t="s">
        <v>144</v>
      </c>
      <c r="G11" s="18" t="s">
        <v>314</v>
      </c>
      <c r="H11" s="18" t="s">
        <v>314</v>
      </c>
      <c r="I11" s="18" t="s">
        <v>314</v>
      </c>
      <c r="J11" s="18" t="s">
        <v>314</v>
      </c>
      <c r="K11" s="18" t="s">
        <v>314</v>
      </c>
      <c r="L11" s="18" t="s">
        <v>314</v>
      </c>
      <c r="M11" s="18" t="s">
        <v>314</v>
      </c>
      <c r="N11" s="18" t="s">
        <v>314</v>
      </c>
      <c r="O11" s="18" t="s">
        <v>314</v>
      </c>
      <c r="P11" s="18" t="s">
        <v>314</v>
      </c>
      <c r="Q11" s="18" t="s">
        <v>314</v>
      </c>
      <c r="R11" s="18" t="s">
        <v>314</v>
      </c>
      <c r="S11" s="38" t="s">
        <v>330</v>
      </c>
      <c r="T11" s="38"/>
      <c r="U11" s="43"/>
      <c r="V11" s="32">
        <f>9790975/30*12</f>
        <v>3916390</v>
      </c>
      <c r="W11" s="27"/>
    </row>
    <row r="12" spans="1:23" ht="38.25" x14ac:dyDescent="0.2">
      <c r="A12" s="59"/>
      <c r="B12" s="59"/>
      <c r="C12" s="59"/>
      <c r="D12" s="59"/>
      <c r="E12" s="89"/>
      <c r="F12" s="17" t="s">
        <v>145</v>
      </c>
      <c r="G12" s="18"/>
      <c r="H12" s="18"/>
      <c r="I12" s="18"/>
      <c r="J12" s="18"/>
      <c r="K12" s="18"/>
      <c r="L12" s="18" t="s">
        <v>314</v>
      </c>
      <c r="M12" s="18"/>
      <c r="N12" s="18"/>
      <c r="O12" s="18"/>
      <c r="P12" s="18"/>
      <c r="Q12" s="18" t="s">
        <v>314</v>
      </c>
      <c r="R12" s="18"/>
      <c r="S12" s="38" t="s">
        <v>346</v>
      </c>
      <c r="T12" s="38"/>
      <c r="U12" s="43"/>
      <c r="V12" s="32">
        <f>(2638795/30*2+9790975/30*2)</f>
        <v>828651.33333333326</v>
      </c>
      <c r="W12" s="27"/>
    </row>
    <row r="13" spans="1:23" ht="89.25" x14ac:dyDescent="0.2">
      <c r="A13" s="60" t="s">
        <v>156</v>
      </c>
      <c r="B13" s="77" t="s">
        <v>151</v>
      </c>
      <c r="C13" s="59" t="s">
        <v>49</v>
      </c>
      <c r="D13" s="88" t="s">
        <v>50</v>
      </c>
      <c r="E13" s="89" t="s">
        <v>83</v>
      </c>
      <c r="F13" s="17" t="s">
        <v>146</v>
      </c>
      <c r="G13" s="18"/>
      <c r="H13" s="18"/>
      <c r="I13" s="18"/>
      <c r="J13" s="18"/>
      <c r="K13" s="18" t="s">
        <v>314</v>
      </c>
      <c r="L13" s="18"/>
      <c r="M13" s="18"/>
      <c r="N13" s="18"/>
      <c r="O13" s="18"/>
      <c r="P13" s="18"/>
      <c r="Q13" s="18" t="s">
        <v>314</v>
      </c>
      <c r="R13" s="18"/>
      <c r="S13" s="38" t="s">
        <v>331</v>
      </c>
      <c r="T13" s="38"/>
      <c r="U13" s="43"/>
      <c r="V13" s="32">
        <f>9790975/30*2*3*2+13527222/30*4</f>
        <v>5720019.5999999996</v>
      </c>
      <c r="W13" s="27"/>
    </row>
    <row r="14" spans="1:23" ht="89.25" x14ac:dyDescent="0.2">
      <c r="A14" s="60"/>
      <c r="B14" s="77"/>
      <c r="C14" s="59"/>
      <c r="D14" s="88"/>
      <c r="E14" s="89"/>
      <c r="F14" s="17" t="s">
        <v>147</v>
      </c>
      <c r="G14" s="18"/>
      <c r="H14" s="18" t="s">
        <v>314</v>
      </c>
      <c r="I14" s="18"/>
      <c r="J14" s="18"/>
      <c r="K14" s="18"/>
      <c r="L14" s="18"/>
      <c r="M14" s="18"/>
      <c r="N14" s="18" t="s">
        <v>314</v>
      </c>
      <c r="O14" s="18"/>
      <c r="P14" s="18"/>
      <c r="Q14" s="18"/>
      <c r="R14" s="18"/>
      <c r="S14" s="38" t="s">
        <v>331</v>
      </c>
      <c r="T14" s="38"/>
      <c r="U14" s="43"/>
      <c r="V14" s="32">
        <f>9790975/30*2*3*2+13527222/30*4</f>
        <v>5720019.5999999996</v>
      </c>
      <c r="W14" s="27"/>
    </row>
    <row r="15" spans="1:23" ht="63.75" x14ac:dyDescent="0.2">
      <c r="A15" s="60"/>
      <c r="B15" s="77" t="s">
        <v>152</v>
      </c>
      <c r="C15" s="59"/>
      <c r="D15" s="88"/>
      <c r="E15" s="89"/>
      <c r="F15" s="17" t="s">
        <v>148</v>
      </c>
      <c r="G15" s="18" t="s">
        <v>314</v>
      </c>
      <c r="H15" s="18" t="s">
        <v>314</v>
      </c>
      <c r="I15" s="18" t="s">
        <v>314</v>
      </c>
      <c r="J15" s="18" t="s">
        <v>314</v>
      </c>
      <c r="K15" s="18" t="s">
        <v>314</v>
      </c>
      <c r="L15" s="18" t="s">
        <v>314</v>
      </c>
      <c r="M15" s="18" t="s">
        <v>314</v>
      </c>
      <c r="N15" s="18" t="s">
        <v>314</v>
      </c>
      <c r="O15" s="18" t="s">
        <v>314</v>
      </c>
      <c r="P15" s="18" t="s">
        <v>314</v>
      </c>
      <c r="Q15" s="18" t="s">
        <v>314</v>
      </c>
      <c r="R15" s="18" t="s">
        <v>314</v>
      </c>
      <c r="S15" s="38" t="s">
        <v>329</v>
      </c>
      <c r="T15" s="38"/>
      <c r="U15" s="43"/>
      <c r="V15" s="32">
        <f>(3077430/30+9790975/30)*12</f>
        <v>5147362</v>
      </c>
      <c r="W15" s="27"/>
    </row>
    <row r="16" spans="1:23" ht="51" x14ac:dyDescent="0.2">
      <c r="A16" s="60"/>
      <c r="B16" s="77"/>
      <c r="C16" s="59"/>
      <c r="D16" s="88"/>
      <c r="E16" s="89"/>
      <c r="F16" s="17" t="s">
        <v>149</v>
      </c>
      <c r="G16" s="18"/>
      <c r="H16" s="18"/>
      <c r="I16" s="18"/>
      <c r="J16" s="18"/>
      <c r="K16" s="18"/>
      <c r="L16" s="18"/>
      <c r="M16" s="18"/>
      <c r="N16" s="18"/>
      <c r="O16" s="18"/>
      <c r="P16" s="18" t="s">
        <v>314</v>
      </c>
      <c r="Q16" s="18"/>
      <c r="R16" s="18"/>
      <c r="S16" s="38" t="s">
        <v>330</v>
      </c>
      <c r="T16" s="38"/>
      <c r="U16" s="43"/>
      <c r="V16" s="32">
        <f>(9790975/30)*5</f>
        <v>1631829.1666666665</v>
      </c>
      <c r="W16" s="27"/>
    </row>
    <row r="17" spans="1:28" ht="25.5" x14ac:dyDescent="0.2">
      <c r="A17" s="60"/>
      <c r="B17" s="77"/>
      <c r="C17" s="59"/>
      <c r="D17" s="88"/>
      <c r="E17" s="89"/>
      <c r="F17" s="17" t="s">
        <v>150</v>
      </c>
      <c r="G17" s="18" t="s">
        <v>314</v>
      </c>
      <c r="H17" s="18" t="s">
        <v>314</v>
      </c>
      <c r="I17" s="18" t="s">
        <v>314</v>
      </c>
      <c r="J17" s="18" t="s">
        <v>314</v>
      </c>
      <c r="K17" s="18" t="s">
        <v>314</v>
      </c>
      <c r="L17" s="18" t="s">
        <v>314</v>
      </c>
      <c r="M17" s="18" t="s">
        <v>314</v>
      </c>
      <c r="N17" s="18" t="s">
        <v>314</v>
      </c>
      <c r="O17" s="18" t="s">
        <v>314</v>
      </c>
      <c r="P17" s="18" t="s">
        <v>314</v>
      </c>
      <c r="Q17" s="18" t="s">
        <v>314</v>
      </c>
      <c r="R17" s="18" t="s">
        <v>314</v>
      </c>
      <c r="S17" s="38" t="s">
        <v>330</v>
      </c>
      <c r="T17" s="38"/>
      <c r="U17" s="43"/>
      <c r="V17" s="32">
        <f>(9790975/30)*12</f>
        <v>3916390</v>
      </c>
      <c r="W17" s="27"/>
    </row>
    <row r="18" spans="1:28" ht="25.5" x14ac:dyDescent="0.2">
      <c r="A18" s="60"/>
      <c r="B18" s="87" t="s">
        <v>153</v>
      </c>
      <c r="C18" s="86" t="s">
        <v>51</v>
      </c>
      <c r="D18" s="86" t="s">
        <v>52</v>
      </c>
      <c r="E18" s="60" t="s">
        <v>82</v>
      </c>
      <c r="F18" s="17" t="s">
        <v>154</v>
      </c>
      <c r="G18" s="18"/>
      <c r="H18" s="18"/>
      <c r="I18" s="18" t="s">
        <v>314</v>
      </c>
      <c r="J18" s="18"/>
      <c r="K18" s="18"/>
      <c r="L18" s="18"/>
      <c r="M18" s="18"/>
      <c r="N18" s="18"/>
      <c r="O18" s="18"/>
      <c r="P18" s="18"/>
      <c r="Q18" s="18"/>
      <c r="R18" s="18"/>
      <c r="S18" s="38" t="s">
        <v>332</v>
      </c>
      <c r="T18" s="38"/>
      <c r="U18" s="43"/>
      <c r="V18" s="32">
        <f>9790975/30*3+13527222/30+21841958/30</f>
        <v>2158070.1666666665</v>
      </c>
      <c r="W18" s="27"/>
    </row>
    <row r="19" spans="1:28" ht="38.25" x14ac:dyDescent="0.2">
      <c r="A19" s="60"/>
      <c r="B19" s="87"/>
      <c r="C19" s="86"/>
      <c r="D19" s="86"/>
      <c r="E19" s="60"/>
      <c r="F19" s="17" t="s">
        <v>155</v>
      </c>
      <c r="G19" s="18"/>
      <c r="H19" s="18"/>
      <c r="I19" s="18"/>
      <c r="J19" s="18"/>
      <c r="K19" s="18" t="s">
        <v>314</v>
      </c>
      <c r="L19" s="18"/>
      <c r="M19" s="18"/>
      <c r="N19" s="18"/>
      <c r="O19" s="18"/>
      <c r="P19" s="18"/>
      <c r="Q19" s="18" t="s">
        <v>314</v>
      </c>
      <c r="R19" s="18"/>
      <c r="S19" s="38" t="s">
        <v>332</v>
      </c>
      <c r="T19" s="38"/>
      <c r="U19" s="43"/>
      <c r="V19" s="32">
        <f>(9790975/30*3+13527222/30+21841958/30)*2</f>
        <v>4316140.333333333</v>
      </c>
      <c r="W19" s="27"/>
      <c r="AB19" s="3" t="s">
        <v>253</v>
      </c>
    </row>
    <row r="20" spans="1:28" ht="76.5" x14ac:dyDescent="0.2">
      <c r="A20" s="60"/>
      <c r="B20" s="20" t="s">
        <v>245</v>
      </c>
      <c r="C20" s="19" t="s">
        <v>246</v>
      </c>
      <c r="D20" s="19" t="s">
        <v>248</v>
      </c>
      <c r="E20" s="18" t="s">
        <v>247</v>
      </c>
      <c r="F20" s="17" t="s">
        <v>249</v>
      </c>
      <c r="G20" s="18" t="s">
        <v>314</v>
      </c>
      <c r="H20" s="18" t="s">
        <v>314</v>
      </c>
      <c r="I20" s="18" t="s">
        <v>314</v>
      </c>
      <c r="J20" s="18" t="s">
        <v>314</v>
      </c>
      <c r="K20" s="18" t="s">
        <v>314</v>
      </c>
      <c r="L20" s="18" t="s">
        <v>314</v>
      </c>
      <c r="M20" s="18" t="s">
        <v>314</v>
      </c>
      <c r="N20" s="18" t="s">
        <v>314</v>
      </c>
      <c r="O20" s="18" t="s">
        <v>314</v>
      </c>
      <c r="P20" s="18" t="s">
        <v>314</v>
      </c>
      <c r="Q20" s="18" t="s">
        <v>314</v>
      </c>
      <c r="R20" s="18" t="s">
        <v>314</v>
      </c>
      <c r="S20" s="38" t="s">
        <v>333</v>
      </c>
      <c r="T20" s="38"/>
      <c r="U20" s="43"/>
      <c r="V20" s="32">
        <f>(9790975/30*3+13527222/30+21841958/30+4560744/30)</f>
        <v>2310094.9666666663</v>
      </c>
      <c r="W20" s="27"/>
    </row>
    <row r="21" spans="1:28" ht="63.75" x14ac:dyDescent="0.2">
      <c r="A21" s="60"/>
      <c r="B21" s="20" t="s">
        <v>250</v>
      </c>
      <c r="C21" s="19" t="s">
        <v>246</v>
      </c>
      <c r="D21" s="19" t="s">
        <v>252</v>
      </c>
      <c r="E21" s="18" t="s">
        <v>247</v>
      </c>
      <c r="F21" s="17" t="s">
        <v>251</v>
      </c>
      <c r="G21" s="18"/>
      <c r="H21" s="18" t="s">
        <v>314</v>
      </c>
      <c r="I21" s="18"/>
      <c r="J21" s="18"/>
      <c r="K21" s="18" t="s">
        <v>314</v>
      </c>
      <c r="L21" s="18"/>
      <c r="M21" s="18"/>
      <c r="N21" s="18" t="s">
        <v>314</v>
      </c>
      <c r="O21" s="18"/>
      <c r="P21" s="18"/>
      <c r="Q21" s="18" t="s">
        <v>314</v>
      </c>
      <c r="R21" s="18"/>
      <c r="S21" s="38" t="s">
        <v>332</v>
      </c>
      <c r="T21" s="38"/>
      <c r="U21" s="43"/>
      <c r="V21" s="32">
        <f>(9790975/30*3+13527222/30+21841958/30+4346000/30)</f>
        <v>2302936.833333333</v>
      </c>
      <c r="W21" s="27"/>
    </row>
    <row r="22" spans="1:28" ht="63.75" x14ac:dyDescent="0.2">
      <c r="A22" s="60"/>
      <c r="B22" s="20" t="s">
        <v>244</v>
      </c>
      <c r="C22" s="19" t="s">
        <v>241</v>
      </c>
      <c r="D22" s="19" t="s">
        <v>240</v>
      </c>
      <c r="E22" s="18" t="s">
        <v>242</v>
      </c>
      <c r="F22" s="17" t="s">
        <v>243</v>
      </c>
      <c r="G22" s="18"/>
      <c r="H22" s="18"/>
      <c r="I22" s="18"/>
      <c r="J22" s="18" t="s">
        <v>314</v>
      </c>
      <c r="K22" s="18"/>
      <c r="L22" s="18"/>
      <c r="M22" s="18" t="s">
        <v>314</v>
      </c>
      <c r="N22" s="18"/>
      <c r="O22" s="18"/>
      <c r="P22" s="18" t="s">
        <v>314</v>
      </c>
      <c r="Q22" s="18"/>
      <c r="R22" s="18" t="s">
        <v>314</v>
      </c>
      <c r="S22" s="38" t="s">
        <v>339</v>
      </c>
      <c r="T22" s="38"/>
      <c r="U22" s="43"/>
      <c r="V22" s="32">
        <f>21841958/30*2</f>
        <v>1456130.5333333334</v>
      </c>
      <c r="W22" s="27"/>
    </row>
    <row r="23" spans="1:28" ht="41.45" customHeight="1" x14ac:dyDescent="0.2">
      <c r="A23" s="60"/>
      <c r="B23" s="86" t="s">
        <v>157</v>
      </c>
      <c r="C23" s="86" t="s">
        <v>57</v>
      </c>
      <c r="D23" s="86" t="s">
        <v>94</v>
      </c>
      <c r="E23" s="60" t="s">
        <v>82</v>
      </c>
      <c r="F23" s="17" t="s">
        <v>158</v>
      </c>
      <c r="G23" s="18" t="s">
        <v>314</v>
      </c>
      <c r="H23" s="18" t="s">
        <v>314</v>
      </c>
      <c r="I23" s="18" t="s">
        <v>314</v>
      </c>
      <c r="J23" s="18" t="s">
        <v>314</v>
      </c>
      <c r="K23" s="18" t="s">
        <v>314</v>
      </c>
      <c r="L23" s="18" t="s">
        <v>314</v>
      </c>
      <c r="M23" s="18" t="s">
        <v>314</v>
      </c>
      <c r="N23" s="18" t="s">
        <v>314</v>
      </c>
      <c r="O23" s="18" t="s">
        <v>314</v>
      </c>
      <c r="P23" s="18" t="s">
        <v>314</v>
      </c>
      <c r="Q23" s="18" t="s">
        <v>314</v>
      </c>
      <c r="R23" s="18" t="s">
        <v>314</v>
      </c>
      <c r="S23" s="38" t="s">
        <v>330</v>
      </c>
      <c r="T23" s="38"/>
      <c r="U23" s="43"/>
      <c r="V23" s="32">
        <f>(9790975/30)*12</f>
        <v>3916390</v>
      </c>
      <c r="W23" s="27"/>
    </row>
    <row r="24" spans="1:28" ht="51" x14ac:dyDescent="0.2">
      <c r="A24" s="60"/>
      <c r="B24" s="86"/>
      <c r="C24" s="86"/>
      <c r="D24" s="86"/>
      <c r="E24" s="60"/>
      <c r="F24" s="17" t="s">
        <v>159</v>
      </c>
      <c r="G24" s="18" t="s">
        <v>314</v>
      </c>
      <c r="H24" s="18" t="s">
        <v>314</v>
      </c>
      <c r="I24" s="18" t="s">
        <v>314</v>
      </c>
      <c r="J24" s="18" t="s">
        <v>314</v>
      </c>
      <c r="K24" s="18" t="s">
        <v>314</v>
      </c>
      <c r="L24" s="18" t="s">
        <v>314</v>
      </c>
      <c r="M24" s="18" t="s">
        <v>314</v>
      </c>
      <c r="N24" s="18" t="s">
        <v>314</v>
      </c>
      <c r="O24" s="18" t="s">
        <v>314</v>
      </c>
      <c r="P24" s="18" t="s">
        <v>314</v>
      </c>
      <c r="Q24" s="18" t="s">
        <v>314</v>
      </c>
      <c r="R24" s="18" t="s">
        <v>314</v>
      </c>
      <c r="S24" s="38" t="s">
        <v>330</v>
      </c>
      <c r="T24" s="38"/>
      <c r="U24" s="43"/>
      <c r="V24" s="32">
        <f>(9790975/30)*12</f>
        <v>3916390</v>
      </c>
      <c r="W24" s="27"/>
    </row>
    <row r="25" spans="1:28" ht="14.25" customHeight="1" x14ac:dyDescent="0.2">
      <c r="A25" s="22"/>
      <c r="B25" s="22"/>
      <c r="C25" s="22"/>
      <c r="D25" s="22"/>
      <c r="E25" s="22"/>
      <c r="F25" s="61" t="s">
        <v>343</v>
      </c>
      <c r="G25" s="62"/>
      <c r="H25" s="62"/>
      <c r="I25" s="62"/>
      <c r="J25" s="62"/>
      <c r="K25" s="62"/>
      <c r="L25" s="62"/>
      <c r="M25" s="62"/>
      <c r="N25" s="62"/>
      <c r="O25" s="62"/>
      <c r="P25" s="62"/>
      <c r="Q25" s="62"/>
      <c r="R25" s="62"/>
      <c r="S25" s="62"/>
      <c r="T25" s="62"/>
      <c r="U25" s="62"/>
      <c r="V25" s="62"/>
      <c r="W25" s="63"/>
    </row>
    <row r="26" spans="1:28" x14ac:dyDescent="0.2">
      <c r="A26" s="5"/>
      <c r="B26" s="5"/>
      <c r="C26" s="5"/>
      <c r="D26" s="5"/>
      <c r="E26" s="5"/>
      <c r="F26" s="5"/>
      <c r="G26" s="5"/>
      <c r="H26" s="5"/>
      <c r="I26" s="5"/>
      <c r="J26" s="5"/>
      <c r="K26" s="5"/>
      <c r="L26" s="5"/>
      <c r="M26" s="5"/>
      <c r="N26" s="5"/>
      <c r="O26" s="5"/>
      <c r="P26" s="5"/>
      <c r="Q26" s="5"/>
      <c r="R26" s="5"/>
      <c r="S26" s="5"/>
    </row>
    <row r="27" spans="1:28" x14ac:dyDescent="0.2">
      <c r="A27" s="5"/>
      <c r="B27" s="5"/>
      <c r="C27" s="5"/>
      <c r="D27" s="5"/>
      <c r="E27" s="5"/>
      <c r="F27" s="5"/>
      <c r="G27" s="5"/>
      <c r="H27" s="5"/>
      <c r="I27" s="5"/>
      <c r="J27" s="5"/>
      <c r="K27" s="5"/>
      <c r="L27" s="5"/>
      <c r="M27" s="5"/>
      <c r="N27" s="5"/>
      <c r="O27" s="5"/>
      <c r="P27" s="5"/>
      <c r="Q27" s="5"/>
      <c r="R27" s="5"/>
      <c r="S27" s="5"/>
    </row>
    <row r="28" spans="1:28" x14ac:dyDescent="0.2">
      <c r="A28" s="5"/>
      <c r="B28" s="5"/>
      <c r="C28" s="5"/>
      <c r="D28" s="5"/>
      <c r="E28" s="5"/>
      <c r="F28" s="5"/>
      <c r="G28" s="5"/>
      <c r="H28" s="5"/>
      <c r="I28" s="5"/>
      <c r="J28" s="5"/>
      <c r="K28" s="5"/>
      <c r="L28" s="5"/>
      <c r="M28" s="5"/>
      <c r="N28" s="5"/>
      <c r="O28" s="5"/>
      <c r="P28" s="5"/>
      <c r="Q28" s="5"/>
      <c r="R28" s="5"/>
      <c r="S28" s="5"/>
    </row>
    <row r="29" spans="1:28" x14ac:dyDescent="0.2">
      <c r="A29" s="5"/>
      <c r="B29" s="5"/>
      <c r="C29" s="5"/>
      <c r="D29" s="5"/>
      <c r="E29" s="5"/>
      <c r="F29" s="5"/>
      <c r="G29" s="5"/>
      <c r="H29" s="5"/>
      <c r="I29" s="5"/>
      <c r="J29" s="5"/>
      <c r="K29" s="5"/>
      <c r="L29" s="5"/>
      <c r="M29" s="5"/>
      <c r="N29" s="5"/>
      <c r="O29" s="5"/>
      <c r="P29" s="5"/>
      <c r="Q29" s="5"/>
      <c r="R29" s="5"/>
      <c r="S29" s="5"/>
    </row>
    <row r="30" spans="1:28" x14ac:dyDescent="0.2">
      <c r="A30" s="5"/>
      <c r="B30" s="5"/>
      <c r="C30" s="5"/>
      <c r="D30" s="5"/>
      <c r="E30" s="5"/>
      <c r="F30" s="5"/>
      <c r="G30" s="5"/>
      <c r="H30" s="5"/>
      <c r="I30" s="5"/>
      <c r="J30" s="5"/>
      <c r="K30" s="5"/>
      <c r="L30" s="5"/>
      <c r="M30" s="5"/>
      <c r="N30" s="5"/>
      <c r="O30" s="5"/>
      <c r="P30" s="5"/>
      <c r="Q30" s="5"/>
      <c r="R30" s="5"/>
      <c r="S30" s="5"/>
    </row>
    <row r="31" spans="1:28" x14ac:dyDescent="0.2">
      <c r="A31" s="5"/>
      <c r="B31" s="5"/>
      <c r="C31" s="5"/>
      <c r="D31" s="5"/>
      <c r="E31" s="5"/>
      <c r="F31" s="5"/>
      <c r="G31" s="5"/>
      <c r="H31" s="5"/>
      <c r="I31" s="5"/>
      <c r="J31" s="5"/>
      <c r="K31" s="5"/>
      <c r="L31" s="5"/>
      <c r="M31" s="5"/>
      <c r="N31" s="5"/>
      <c r="O31" s="5"/>
      <c r="P31" s="5"/>
      <c r="Q31" s="5"/>
      <c r="R31" s="5"/>
      <c r="S31" s="5"/>
    </row>
  </sheetData>
  <mergeCells count="37">
    <mergeCell ref="A1:W1"/>
    <mergeCell ref="B3:W3"/>
    <mergeCell ref="B5:W5"/>
    <mergeCell ref="V7:V8"/>
    <mergeCell ref="W7:W8"/>
    <mergeCell ref="A6:S6"/>
    <mergeCell ref="A4:S4"/>
    <mergeCell ref="E7:E8"/>
    <mergeCell ref="F25:W25"/>
    <mergeCell ref="T7:T8"/>
    <mergeCell ref="U7:U8"/>
    <mergeCell ref="F7:F8"/>
    <mergeCell ref="S7:S8"/>
    <mergeCell ref="G7:R7"/>
    <mergeCell ref="A11:A12"/>
    <mergeCell ref="A7:A8"/>
    <mergeCell ref="C11:C12"/>
    <mergeCell ref="D11:D12"/>
    <mergeCell ref="E11:E12"/>
    <mergeCell ref="B7:B8"/>
    <mergeCell ref="C7:C8"/>
    <mergeCell ref="D7:D8"/>
    <mergeCell ref="B11:B12"/>
    <mergeCell ref="A13:A24"/>
    <mergeCell ref="C18:C19"/>
    <mergeCell ref="D18:D19"/>
    <mergeCell ref="E18:E19"/>
    <mergeCell ref="B13:B14"/>
    <mergeCell ref="B15:B17"/>
    <mergeCell ref="B18:B19"/>
    <mergeCell ref="C13:C17"/>
    <mergeCell ref="D13:D17"/>
    <mergeCell ref="E13:E17"/>
    <mergeCell ref="B23:B24"/>
    <mergeCell ref="C23:C24"/>
    <mergeCell ref="D23:D24"/>
    <mergeCell ref="E23:E24"/>
  </mergeCells>
  <pageMargins left="0.23622047244094491" right="0.31496062992125984" top="0.35433070866141736" bottom="0.35433070866141736" header="0.31496062992125984" footer="0.31496062992125984"/>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W18"/>
  <sheetViews>
    <sheetView zoomScaleNormal="100" zoomScaleSheetLayoutView="50" workbookViewId="0">
      <selection activeCell="E9" sqref="E9"/>
    </sheetView>
  </sheetViews>
  <sheetFormatPr baseColWidth="10" defaultColWidth="11.42578125" defaultRowHeight="8.25" x14ac:dyDescent="0.15"/>
  <cols>
    <col min="1" max="1" width="17.85546875" style="1" customWidth="1"/>
    <col min="2" max="2" width="29.85546875" style="1" customWidth="1"/>
    <col min="3" max="3" width="16.28515625" style="1" customWidth="1"/>
    <col min="4" max="4" width="21.5703125" style="1" customWidth="1"/>
    <col min="5" max="5" width="8.140625" style="1" customWidth="1"/>
    <col min="6" max="6" width="50.140625" style="7" customWidth="1"/>
    <col min="7" max="18" width="4.28515625" style="7" customWidth="1"/>
    <col min="19" max="19" width="19.140625" style="1" customWidth="1"/>
    <col min="20" max="20" width="13.7109375" style="1" customWidth="1"/>
    <col min="21" max="21" width="13.42578125" style="1" customWidth="1"/>
    <col min="22" max="16384" width="11.42578125" style="1"/>
  </cols>
  <sheetData>
    <row r="1" spans="1:23" ht="66.95" customHeight="1" x14ac:dyDescent="0.15">
      <c r="A1" s="64" t="s">
        <v>358</v>
      </c>
      <c r="B1" s="65"/>
      <c r="C1" s="65"/>
      <c r="D1" s="65"/>
      <c r="E1" s="65"/>
      <c r="F1" s="65"/>
      <c r="G1" s="65"/>
      <c r="H1" s="65"/>
      <c r="I1" s="65"/>
      <c r="J1" s="65"/>
      <c r="K1" s="65"/>
      <c r="L1" s="65"/>
      <c r="M1" s="65"/>
      <c r="N1" s="65"/>
      <c r="O1" s="65"/>
      <c r="P1" s="65"/>
      <c r="Q1" s="65"/>
      <c r="R1" s="65"/>
      <c r="S1" s="65"/>
      <c r="T1" s="65"/>
      <c r="U1" s="65"/>
      <c r="V1" s="65"/>
      <c r="W1" s="66"/>
    </row>
    <row r="2" spans="1:23" ht="18" x14ac:dyDescent="0.15">
      <c r="A2" s="23"/>
      <c r="B2" s="24"/>
      <c r="C2" s="24"/>
      <c r="D2" s="24"/>
      <c r="E2" s="24"/>
      <c r="F2" s="24"/>
      <c r="G2" s="24"/>
      <c r="H2" s="24"/>
      <c r="I2" s="24"/>
      <c r="J2" s="24"/>
      <c r="K2" s="24"/>
      <c r="L2" s="24"/>
      <c r="M2" s="24"/>
      <c r="N2" s="24"/>
      <c r="O2" s="24"/>
      <c r="P2" s="24"/>
      <c r="Q2" s="24"/>
      <c r="R2" s="24"/>
      <c r="S2" s="24"/>
      <c r="T2" s="26"/>
      <c r="U2" s="26"/>
      <c r="V2" s="26"/>
      <c r="W2" s="26"/>
    </row>
    <row r="3" spans="1:23" ht="45.75" customHeight="1" x14ac:dyDescent="0.15">
      <c r="A3" s="10" t="s">
        <v>179</v>
      </c>
      <c r="B3" s="67" t="s">
        <v>161</v>
      </c>
      <c r="C3" s="68"/>
      <c r="D3" s="68"/>
      <c r="E3" s="68"/>
      <c r="F3" s="68"/>
      <c r="G3" s="68"/>
      <c r="H3" s="68"/>
      <c r="I3" s="68"/>
      <c r="J3" s="68"/>
      <c r="K3" s="68"/>
      <c r="L3" s="68"/>
      <c r="M3" s="68"/>
      <c r="N3" s="68"/>
      <c r="O3" s="68"/>
      <c r="P3" s="68"/>
      <c r="Q3" s="68"/>
      <c r="R3" s="68"/>
      <c r="S3" s="68"/>
      <c r="T3" s="68"/>
      <c r="U3" s="68"/>
      <c r="V3" s="68"/>
      <c r="W3" s="69"/>
    </row>
    <row r="4" spans="1:23" ht="11.25" customHeight="1" x14ac:dyDescent="0.15">
      <c r="A4" s="76"/>
      <c r="B4" s="76"/>
      <c r="C4" s="76"/>
      <c r="D4" s="76"/>
      <c r="E4" s="76"/>
      <c r="F4" s="76"/>
      <c r="G4" s="76"/>
      <c r="H4" s="76"/>
      <c r="I4" s="76"/>
      <c r="J4" s="76"/>
      <c r="K4" s="76"/>
      <c r="L4" s="76"/>
      <c r="M4" s="76"/>
      <c r="N4" s="76"/>
      <c r="O4" s="76"/>
      <c r="P4" s="76"/>
      <c r="Q4" s="76"/>
      <c r="R4" s="76"/>
      <c r="S4" s="76"/>
      <c r="T4" s="26"/>
      <c r="U4" s="26"/>
      <c r="V4" s="26"/>
      <c r="W4" s="26"/>
    </row>
    <row r="5" spans="1:23" ht="42.75" customHeight="1" x14ac:dyDescent="0.15">
      <c r="A5" s="10" t="s">
        <v>106</v>
      </c>
      <c r="B5" s="91" t="s">
        <v>6</v>
      </c>
      <c r="C5" s="92"/>
      <c r="D5" s="92"/>
      <c r="E5" s="92"/>
      <c r="F5" s="92"/>
      <c r="G5" s="92"/>
      <c r="H5" s="92"/>
      <c r="I5" s="92"/>
      <c r="J5" s="92"/>
      <c r="K5" s="92"/>
      <c r="L5" s="92"/>
      <c r="M5" s="92"/>
      <c r="N5" s="92"/>
      <c r="O5" s="92"/>
      <c r="P5" s="92"/>
      <c r="Q5" s="92"/>
      <c r="R5" s="92"/>
      <c r="S5" s="92"/>
      <c r="T5" s="92"/>
      <c r="U5" s="92"/>
      <c r="V5" s="92"/>
      <c r="W5" s="93"/>
    </row>
    <row r="6" spans="1:23" ht="12" customHeight="1" x14ac:dyDescent="0.15">
      <c r="A6" s="85"/>
      <c r="B6" s="85"/>
      <c r="C6" s="85"/>
      <c r="D6" s="85"/>
      <c r="E6" s="85"/>
      <c r="F6" s="85"/>
      <c r="G6" s="85"/>
      <c r="H6" s="85"/>
      <c r="I6" s="85"/>
      <c r="J6" s="85"/>
      <c r="K6" s="85"/>
      <c r="L6" s="85"/>
      <c r="M6" s="85"/>
      <c r="N6" s="85"/>
      <c r="O6" s="85"/>
      <c r="P6" s="85"/>
      <c r="Q6" s="85"/>
      <c r="R6" s="85"/>
      <c r="S6" s="85"/>
      <c r="T6" s="26"/>
      <c r="U6" s="26"/>
      <c r="V6" s="26"/>
      <c r="W6" s="26"/>
    </row>
    <row r="7" spans="1:23" ht="13.5" customHeight="1" x14ac:dyDescent="0.15">
      <c r="A7" s="52" t="s">
        <v>1</v>
      </c>
      <c r="B7" s="53" t="s">
        <v>2</v>
      </c>
      <c r="C7" s="53" t="s">
        <v>18</v>
      </c>
      <c r="D7" s="53" t="s">
        <v>28</v>
      </c>
      <c r="E7" s="54" t="s">
        <v>344</v>
      </c>
      <c r="F7" s="53" t="s">
        <v>41</v>
      </c>
      <c r="G7" s="53" t="s">
        <v>294</v>
      </c>
      <c r="H7" s="53"/>
      <c r="I7" s="53"/>
      <c r="J7" s="53"/>
      <c r="K7" s="53"/>
      <c r="L7" s="53"/>
      <c r="M7" s="53"/>
      <c r="N7" s="53"/>
      <c r="O7" s="53"/>
      <c r="P7" s="53"/>
      <c r="Q7" s="53"/>
      <c r="R7" s="53"/>
      <c r="S7" s="54" t="s">
        <v>0</v>
      </c>
      <c r="T7" s="94" t="s">
        <v>309</v>
      </c>
      <c r="U7" s="94" t="s">
        <v>308</v>
      </c>
      <c r="V7" s="83" t="s">
        <v>312</v>
      </c>
      <c r="W7" s="83" t="s">
        <v>313</v>
      </c>
    </row>
    <row r="8" spans="1:23" ht="84.75" customHeight="1" x14ac:dyDescent="0.15">
      <c r="A8" s="52"/>
      <c r="B8" s="53"/>
      <c r="C8" s="53"/>
      <c r="D8" s="53"/>
      <c r="E8" s="54"/>
      <c r="F8" s="53"/>
      <c r="G8" s="30" t="s">
        <v>295</v>
      </c>
      <c r="H8" s="30" t="s">
        <v>296</v>
      </c>
      <c r="I8" s="30" t="s">
        <v>297</v>
      </c>
      <c r="J8" s="30" t="s">
        <v>298</v>
      </c>
      <c r="K8" s="30" t="s">
        <v>299</v>
      </c>
      <c r="L8" s="30" t="s">
        <v>300</v>
      </c>
      <c r="M8" s="30" t="s">
        <v>301</v>
      </c>
      <c r="N8" s="30" t="s">
        <v>302</v>
      </c>
      <c r="O8" s="30" t="s">
        <v>303</v>
      </c>
      <c r="P8" s="30" t="s">
        <v>304</v>
      </c>
      <c r="Q8" s="30" t="s">
        <v>305</v>
      </c>
      <c r="R8" s="30" t="s">
        <v>306</v>
      </c>
      <c r="S8" s="54"/>
      <c r="T8" s="94"/>
      <c r="U8" s="94"/>
      <c r="V8" s="84"/>
      <c r="W8" s="84"/>
    </row>
    <row r="9" spans="1:23" ht="74.25" customHeight="1" x14ac:dyDescent="0.15">
      <c r="A9" s="18" t="s">
        <v>162</v>
      </c>
      <c r="B9" s="17" t="s">
        <v>165</v>
      </c>
      <c r="C9" s="17" t="s">
        <v>69</v>
      </c>
      <c r="D9" s="17" t="s">
        <v>70</v>
      </c>
      <c r="E9" s="18" t="s">
        <v>84</v>
      </c>
      <c r="F9" s="17" t="s">
        <v>168</v>
      </c>
      <c r="G9" s="18"/>
      <c r="H9" s="18" t="s">
        <v>314</v>
      </c>
      <c r="I9" s="18"/>
      <c r="J9" s="18"/>
      <c r="K9" s="18"/>
      <c r="L9" s="18"/>
      <c r="M9" s="18"/>
      <c r="N9" s="18"/>
      <c r="O9" s="18"/>
      <c r="P9" s="18"/>
      <c r="Q9" s="18"/>
      <c r="R9" s="18"/>
      <c r="S9" s="39" t="s">
        <v>319</v>
      </c>
      <c r="T9" s="39"/>
      <c r="U9" s="43"/>
      <c r="V9" s="32">
        <f>9134408/30*3+13527222/30+20377277/30+4002928/30</f>
        <v>2177021.7000000002</v>
      </c>
      <c r="W9" s="26"/>
    </row>
    <row r="10" spans="1:23" ht="38.25" x14ac:dyDescent="0.15">
      <c r="A10" s="60" t="s">
        <v>163</v>
      </c>
      <c r="B10" s="59" t="s">
        <v>166</v>
      </c>
      <c r="C10" s="59" t="s">
        <v>78</v>
      </c>
      <c r="D10" s="59" t="s">
        <v>79</v>
      </c>
      <c r="E10" s="60" t="s">
        <v>85</v>
      </c>
      <c r="F10" s="17" t="s">
        <v>169</v>
      </c>
      <c r="G10" s="18" t="s">
        <v>314</v>
      </c>
      <c r="H10" s="18" t="s">
        <v>314</v>
      </c>
      <c r="I10" s="18" t="s">
        <v>314</v>
      </c>
      <c r="J10" s="18" t="s">
        <v>314</v>
      </c>
      <c r="K10" s="18" t="s">
        <v>314</v>
      </c>
      <c r="L10" s="18" t="s">
        <v>314</v>
      </c>
      <c r="M10" s="18" t="s">
        <v>314</v>
      </c>
      <c r="N10" s="18" t="s">
        <v>314</v>
      </c>
      <c r="O10" s="18" t="s">
        <v>314</v>
      </c>
      <c r="P10" s="18" t="s">
        <v>314</v>
      </c>
      <c r="Q10" s="18" t="s">
        <v>314</v>
      </c>
      <c r="R10" s="18" t="s">
        <v>314</v>
      </c>
      <c r="S10" s="39" t="s">
        <v>347</v>
      </c>
      <c r="T10" s="39"/>
      <c r="U10" s="43"/>
      <c r="V10" s="32">
        <f>(9134408/30+13527222/30+20377277/30)*12</f>
        <v>17215562.800000001</v>
      </c>
      <c r="W10" s="26"/>
    </row>
    <row r="11" spans="1:23" ht="38.25" x14ac:dyDescent="0.15">
      <c r="A11" s="60"/>
      <c r="B11" s="59"/>
      <c r="C11" s="59"/>
      <c r="D11" s="59"/>
      <c r="E11" s="60"/>
      <c r="F11" s="17" t="s">
        <v>170</v>
      </c>
      <c r="G11" s="18" t="s">
        <v>314</v>
      </c>
      <c r="H11" s="18" t="s">
        <v>314</v>
      </c>
      <c r="I11" s="18" t="s">
        <v>314</v>
      </c>
      <c r="J11" s="18" t="s">
        <v>314</v>
      </c>
      <c r="K11" s="18" t="s">
        <v>314</v>
      </c>
      <c r="L11" s="18" t="s">
        <v>314</v>
      </c>
      <c r="M11" s="18" t="s">
        <v>314</v>
      </c>
      <c r="N11" s="18" t="s">
        <v>314</v>
      </c>
      <c r="O11" s="18" t="s">
        <v>314</v>
      </c>
      <c r="P11" s="18" t="s">
        <v>314</v>
      </c>
      <c r="Q11" s="18" t="s">
        <v>314</v>
      </c>
      <c r="R11" s="18" t="s">
        <v>314</v>
      </c>
      <c r="S11" s="39" t="s">
        <v>16</v>
      </c>
      <c r="T11" s="39"/>
      <c r="U11" s="43"/>
      <c r="V11" s="32">
        <f>(9134408/30*3+13527222/30)*12</f>
        <v>16372178.400000002</v>
      </c>
      <c r="W11" s="26"/>
    </row>
    <row r="12" spans="1:23" ht="51" x14ac:dyDescent="0.15">
      <c r="A12" s="60"/>
      <c r="B12" s="59"/>
      <c r="C12" s="59"/>
      <c r="D12" s="59"/>
      <c r="E12" s="60"/>
      <c r="F12" s="17" t="s">
        <v>171</v>
      </c>
      <c r="G12" s="18"/>
      <c r="H12" s="18"/>
      <c r="I12" s="18"/>
      <c r="J12" s="18"/>
      <c r="K12" s="18"/>
      <c r="L12" s="18"/>
      <c r="M12" s="18"/>
      <c r="N12" s="18"/>
      <c r="O12" s="18" t="s">
        <v>314</v>
      </c>
      <c r="P12" s="18"/>
      <c r="Q12" s="18"/>
      <c r="R12" s="18"/>
      <c r="S12" s="39" t="s">
        <v>16</v>
      </c>
      <c r="T12" s="39"/>
      <c r="U12" s="43"/>
      <c r="V12" s="32">
        <f>(9134408/30)</f>
        <v>304480.26666666666</v>
      </c>
      <c r="W12" s="26"/>
    </row>
    <row r="13" spans="1:23" ht="38.25" x14ac:dyDescent="0.15">
      <c r="A13" s="60" t="s">
        <v>164</v>
      </c>
      <c r="B13" s="59" t="s">
        <v>167</v>
      </c>
      <c r="C13" s="59" t="s">
        <v>72</v>
      </c>
      <c r="D13" s="59" t="s">
        <v>71</v>
      </c>
      <c r="E13" s="60" t="s">
        <v>85</v>
      </c>
      <c r="F13" s="17" t="s">
        <v>172</v>
      </c>
      <c r="G13" s="18"/>
      <c r="H13" s="18"/>
      <c r="I13" s="18"/>
      <c r="J13" s="18"/>
      <c r="K13" s="18"/>
      <c r="L13" s="18"/>
      <c r="M13" s="18" t="s">
        <v>314</v>
      </c>
      <c r="N13" s="18"/>
      <c r="O13" s="18"/>
      <c r="P13" s="18"/>
      <c r="Q13" s="18"/>
      <c r="R13" s="18"/>
      <c r="S13" s="40" t="s">
        <v>348</v>
      </c>
      <c r="T13" s="39"/>
      <c r="U13" s="43"/>
      <c r="V13" s="32">
        <f>(9134408/30+6012649/30)</f>
        <v>504901.9</v>
      </c>
      <c r="W13" s="26"/>
    </row>
    <row r="14" spans="1:23" ht="60" customHeight="1" x14ac:dyDescent="0.15">
      <c r="A14" s="60"/>
      <c r="B14" s="59"/>
      <c r="C14" s="59"/>
      <c r="D14" s="59"/>
      <c r="E14" s="60"/>
      <c r="F14" s="17" t="s">
        <v>173</v>
      </c>
      <c r="G14" s="18" t="s">
        <v>314</v>
      </c>
      <c r="H14" s="18" t="s">
        <v>314</v>
      </c>
      <c r="I14" s="18" t="s">
        <v>314</v>
      </c>
      <c r="J14" s="18" t="s">
        <v>314</v>
      </c>
      <c r="K14" s="18" t="s">
        <v>314</v>
      </c>
      <c r="L14" s="18" t="s">
        <v>314</v>
      </c>
      <c r="M14" s="18" t="s">
        <v>314</v>
      </c>
      <c r="N14" s="18" t="s">
        <v>314</v>
      </c>
      <c r="O14" s="18" t="s">
        <v>314</v>
      </c>
      <c r="P14" s="18" t="s">
        <v>314</v>
      </c>
      <c r="Q14" s="18" t="s">
        <v>314</v>
      </c>
      <c r="R14" s="18" t="s">
        <v>314</v>
      </c>
      <c r="S14" s="38" t="s">
        <v>349</v>
      </c>
      <c r="T14" s="39"/>
      <c r="U14" s="43"/>
      <c r="V14" s="32">
        <f>(6012649/30+4511392/30)*12</f>
        <v>4209616.4000000004</v>
      </c>
      <c r="W14" s="26"/>
    </row>
    <row r="15" spans="1:23" ht="38.25" x14ac:dyDescent="0.15">
      <c r="A15" s="60" t="s">
        <v>177</v>
      </c>
      <c r="B15" s="59" t="s">
        <v>178</v>
      </c>
      <c r="C15" s="59" t="s">
        <v>73</v>
      </c>
      <c r="D15" s="59" t="s">
        <v>74</v>
      </c>
      <c r="E15" s="60" t="s">
        <v>85</v>
      </c>
      <c r="F15" s="19" t="s">
        <v>174</v>
      </c>
      <c r="G15" s="18"/>
      <c r="H15" s="18"/>
      <c r="I15" s="18"/>
      <c r="J15" s="18" t="s">
        <v>314</v>
      </c>
      <c r="K15" s="18"/>
      <c r="L15" s="18"/>
      <c r="M15" s="18"/>
      <c r="N15" s="18"/>
      <c r="O15" s="18"/>
      <c r="P15" s="18"/>
      <c r="Q15" s="18"/>
      <c r="R15" s="18"/>
      <c r="S15" s="36" t="s">
        <v>17</v>
      </c>
      <c r="T15" s="39"/>
      <c r="U15" s="43"/>
      <c r="V15" s="32">
        <f>(4511392/30)</f>
        <v>150379.73333333334</v>
      </c>
      <c r="W15" s="26"/>
    </row>
    <row r="16" spans="1:23" ht="38.25" x14ac:dyDescent="0.15">
      <c r="A16" s="60"/>
      <c r="B16" s="59"/>
      <c r="C16" s="59"/>
      <c r="D16" s="59"/>
      <c r="E16" s="60"/>
      <c r="F16" s="19" t="s">
        <v>175</v>
      </c>
      <c r="G16" s="18" t="s">
        <v>314</v>
      </c>
      <c r="H16" s="18" t="s">
        <v>314</v>
      </c>
      <c r="I16" s="18" t="s">
        <v>314</v>
      </c>
      <c r="J16" s="18" t="s">
        <v>314</v>
      </c>
      <c r="K16" s="18" t="s">
        <v>314</v>
      </c>
      <c r="L16" s="18" t="s">
        <v>314</v>
      </c>
      <c r="M16" s="18" t="s">
        <v>314</v>
      </c>
      <c r="N16" s="18" t="s">
        <v>314</v>
      </c>
      <c r="O16" s="18" t="s">
        <v>314</v>
      </c>
      <c r="P16" s="18" t="s">
        <v>314</v>
      </c>
      <c r="Q16" s="18" t="s">
        <v>314</v>
      </c>
      <c r="R16" s="18" t="s">
        <v>314</v>
      </c>
      <c r="S16" s="36" t="s">
        <v>17</v>
      </c>
      <c r="T16" s="39"/>
      <c r="U16" s="43"/>
      <c r="V16" s="32">
        <f>(4511392/30)*12</f>
        <v>1804556.8</v>
      </c>
      <c r="W16" s="26"/>
    </row>
    <row r="17" spans="1:23" ht="51" x14ac:dyDescent="0.15">
      <c r="A17" s="60"/>
      <c r="B17" s="59"/>
      <c r="C17" s="59"/>
      <c r="D17" s="59"/>
      <c r="E17" s="60"/>
      <c r="F17" s="19" t="s">
        <v>176</v>
      </c>
      <c r="G17" s="18" t="s">
        <v>314</v>
      </c>
      <c r="H17" s="18" t="s">
        <v>314</v>
      </c>
      <c r="I17" s="18" t="s">
        <v>314</v>
      </c>
      <c r="J17" s="18" t="s">
        <v>314</v>
      </c>
      <c r="K17" s="18" t="s">
        <v>314</v>
      </c>
      <c r="L17" s="18" t="s">
        <v>314</v>
      </c>
      <c r="M17" s="18" t="s">
        <v>314</v>
      </c>
      <c r="N17" s="18" t="s">
        <v>314</v>
      </c>
      <c r="O17" s="18" t="s">
        <v>314</v>
      </c>
      <c r="P17" s="18" t="s">
        <v>314</v>
      </c>
      <c r="Q17" s="18" t="s">
        <v>314</v>
      </c>
      <c r="R17" s="18" t="s">
        <v>314</v>
      </c>
      <c r="S17" s="36" t="s">
        <v>350</v>
      </c>
      <c r="T17" s="39"/>
      <c r="U17" s="43"/>
      <c r="V17" s="32">
        <f>(4511392/30+5424345/30)*12</f>
        <v>3974294.8</v>
      </c>
      <c r="W17" s="26"/>
    </row>
    <row r="18" spans="1:23" ht="12.75" x14ac:dyDescent="0.15">
      <c r="A18" s="26"/>
      <c r="B18" s="26"/>
      <c r="C18" s="26"/>
      <c r="D18" s="26"/>
      <c r="E18" s="26"/>
      <c r="F18" s="61" t="s">
        <v>343</v>
      </c>
      <c r="G18" s="62"/>
      <c r="H18" s="62"/>
      <c r="I18" s="62"/>
      <c r="J18" s="62"/>
      <c r="K18" s="62"/>
      <c r="L18" s="62"/>
      <c r="M18" s="62"/>
      <c r="N18" s="62"/>
      <c r="O18" s="62"/>
      <c r="P18" s="62"/>
      <c r="Q18" s="62"/>
      <c r="R18" s="62"/>
      <c r="S18" s="62"/>
      <c r="T18" s="62"/>
      <c r="U18" s="62"/>
      <c r="V18" s="62"/>
      <c r="W18" s="63"/>
    </row>
  </sheetData>
  <mergeCells count="33">
    <mergeCell ref="C15:C17"/>
    <mergeCell ref="E7:E8"/>
    <mergeCell ref="D7:D8"/>
    <mergeCell ref="F18:W18"/>
    <mergeCell ref="D15:D17"/>
    <mergeCell ref="E15:E17"/>
    <mergeCell ref="D10:D12"/>
    <mergeCell ref="E10:E12"/>
    <mergeCell ref="D13:D14"/>
    <mergeCell ref="E13:E14"/>
    <mergeCell ref="C7:C8"/>
    <mergeCell ref="A15:A17"/>
    <mergeCell ref="B15:B17"/>
    <mergeCell ref="A1:W1"/>
    <mergeCell ref="B3:W3"/>
    <mergeCell ref="B5:W5"/>
    <mergeCell ref="V7:V8"/>
    <mergeCell ref="W7:W8"/>
    <mergeCell ref="T7:T8"/>
    <mergeCell ref="U7:U8"/>
    <mergeCell ref="A4:S4"/>
    <mergeCell ref="B7:B8"/>
    <mergeCell ref="F7:F8"/>
    <mergeCell ref="S7:S8"/>
    <mergeCell ref="A6:S6"/>
    <mergeCell ref="G7:R7"/>
    <mergeCell ref="A7:A8"/>
    <mergeCell ref="B13:B14"/>
    <mergeCell ref="A13:A14"/>
    <mergeCell ref="B10:B12"/>
    <mergeCell ref="A10:A12"/>
    <mergeCell ref="C10:C12"/>
    <mergeCell ref="C13:C14"/>
  </mergeCells>
  <pageMargins left="0.23622047244094491" right="0.31496062992125984" top="0.39370078740157483" bottom="0.39370078740157483" header="0.31496062992125984" footer="0.31496062992125984"/>
  <pageSetup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W32"/>
  <sheetViews>
    <sheetView zoomScaleNormal="100" workbookViewId="0">
      <selection activeCell="A2" sqref="A2"/>
    </sheetView>
  </sheetViews>
  <sheetFormatPr baseColWidth="10" defaultColWidth="11.42578125" defaultRowHeight="12.75" x14ac:dyDescent="0.2"/>
  <cols>
    <col min="1" max="1" width="16.85546875" style="1" customWidth="1"/>
    <col min="2" max="2" width="18.42578125" style="1" customWidth="1"/>
    <col min="3" max="3" width="21.42578125" style="2" customWidth="1"/>
    <col min="4" max="4" width="28.85546875" style="1" customWidth="1"/>
    <col min="5" max="5" width="9.42578125" style="1" customWidth="1"/>
    <col min="6" max="6" width="52.42578125" style="7" customWidth="1"/>
    <col min="7" max="17" width="4" style="7" customWidth="1"/>
    <col min="18" max="18" width="4.140625" style="7" customWidth="1"/>
    <col min="19" max="19" width="16.140625" style="8" customWidth="1"/>
    <col min="20" max="20" width="13.140625" style="1" customWidth="1"/>
    <col min="21" max="21" width="14.85546875" style="5" customWidth="1"/>
    <col min="22" max="16384" width="11.42578125" style="1"/>
  </cols>
  <sheetData>
    <row r="1" spans="1:23" ht="60.95" customHeight="1" x14ac:dyDescent="0.15">
      <c r="A1" s="64" t="s">
        <v>359</v>
      </c>
      <c r="B1" s="65"/>
      <c r="C1" s="65"/>
      <c r="D1" s="65"/>
      <c r="E1" s="65"/>
      <c r="F1" s="65"/>
      <c r="G1" s="65"/>
      <c r="H1" s="65"/>
      <c r="I1" s="65"/>
      <c r="J1" s="65"/>
      <c r="K1" s="65"/>
      <c r="L1" s="65"/>
      <c r="M1" s="65"/>
      <c r="N1" s="65"/>
      <c r="O1" s="65"/>
      <c r="P1" s="65"/>
      <c r="Q1" s="65"/>
      <c r="R1" s="65"/>
      <c r="S1" s="65"/>
      <c r="T1" s="65"/>
      <c r="U1" s="65"/>
      <c r="V1" s="65"/>
      <c r="W1" s="66"/>
    </row>
    <row r="2" spans="1:23" ht="18" x14ac:dyDescent="0.2">
      <c r="A2" s="23"/>
      <c r="B2" s="24"/>
      <c r="C2" s="24"/>
      <c r="D2" s="24"/>
      <c r="E2" s="24"/>
      <c r="F2" s="24"/>
      <c r="G2" s="24"/>
      <c r="H2" s="24"/>
      <c r="I2" s="24"/>
      <c r="J2" s="24"/>
      <c r="K2" s="24"/>
      <c r="L2" s="24"/>
      <c r="M2" s="24"/>
      <c r="N2" s="24"/>
      <c r="O2" s="24"/>
      <c r="P2" s="24"/>
      <c r="Q2" s="24"/>
      <c r="R2" s="24"/>
      <c r="S2" s="24"/>
      <c r="T2" s="26"/>
      <c r="U2" s="22"/>
      <c r="V2" s="26"/>
      <c r="W2" s="26"/>
    </row>
    <row r="3" spans="1:23" ht="44.65" customHeight="1" x14ac:dyDescent="0.15">
      <c r="A3" s="10" t="s">
        <v>182</v>
      </c>
      <c r="B3" s="67" t="s">
        <v>181</v>
      </c>
      <c r="C3" s="68"/>
      <c r="D3" s="68"/>
      <c r="E3" s="68"/>
      <c r="F3" s="68"/>
      <c r="G3" s="68"/>
      <c r="H3" s="68"/>
      <c r="I3" s="68"/>
      <c r="J3" s="68"/>
      <c r="K3" s="68"/>
      <c r="L3" s="68"/>
      <c r="M3" s="68"/>
      <c r="N3" s="68"/>
      <c r="O3" s="68"/>
      <c r="P3" s="68"/>
      <c r="Q3" s="68"/>
      <c r="R3" s="68"/>
      <c r="S3" s="68"/>
      <c r="T3" s="68"/>
      <c r="U3" s="68"/>
      <c r="V3" s="68"/>
      <c r="W3" s="69"/>
    </row>
    <row r="4" spans="1:23" ht="15.75" x14ac:dyDescent="0.2">
      <c r="A4" s="76"/>
      <c r="B4" s="76"/>
      <c r="C4" s="76"/>
      <c r="D4" s="76"/>
      <c r="E4" s="76"/>
      <c r="F4" s="76"/>
      <c r="G4" s="76"/>
      <c r="H4" s="76"/>
      <c r="I4" s="76"/>
      <c r="J4" s="76"/>
      <c r="K4" s="76"/>
      <c r="L4" s="76"/>
      <c r="M4" s="76"/>
      <c r="N4" s="76"/>
      <c r="O4" s="76"/>
      <c r="P4" s="76"/>
      <c r="Q4" s="76"/>
      <c r="R4" s="76"/>
      <c r="S4" s="76"/>
      <c r="T4" s="26"/>
      <c r="U4" s="22"/>
      <c r="V4" s="26"/>
      <c r="W4" s="26"/>
    </row>
    <row r="5" spans="1:23" ht="44.25" customHeight="1" x14ac:dyDescent="0.15">
      <c r="A5" s="10" t="s">
        <v>106</v>
      </c>
      <c r="B5" s="78" t="s">
        <v>3</v>
      </c>
      <c r="C5" s="79"/>
      <c r="D5" s="79"/>
      <c r="E5" s="79"/>
      <c r="F5" s="79"/>
      <c r="G5" s="79"/>
      <c r="H5" s="79"/>
      <c r="I5" s="79"/>
      <c r="J5" s="79"/>
      <c r="K5" s="79"/>
      <c r="L5" s="79"/>
      <c r="M5" s="79"/>
      <c r="N5" s="79"/>
      <c r="O5" s="79"/>
      <c r="P5" s="79"/>
      <c r="Q5" s="79"/>
      <c r="R5" s="79"/>
      <c r="S5" s="79"/>
      <c r="T5" s="79"/>
      <c r="U5" s="79"/>
      <c r="V5" s="79"/>
      <c r="W5" s="80"/>
    </row>
    <row r="6" spans="1:23" ht="15" x14ac:dyDescent="0.2">
      <c r="A6" s="98"/>
      <c r="B6" s="98"/>
      <c r="C6" s="98"/>
      <c r="D6" s="98"/>
      <c r="E6" s="98"/>
      <c r="F6" s="98"/>
      <c r="G6" s="98"/>
      <c r="H6" s="98"/>
      <c r="I6" s="98"/>
      <c r="J6" s="98"/>
      <c r="K6" s="98"/>
      <c r="L6" s="98"/>
      <c r="M6" s="98"/>
      <c r="N6" s="98"/>
      <c r="O6" s="98"/>
      <c r="P6" s="98"/>
      <c r="Q6" s="98"/>
      <c r="R6" s="98"/>
      <c r="S6" s="98"/>
      <c r="T6" s="26"/>
      <c r="U6" s="22"/>
      <c r="V6" s="26"/>
      <c r="W6" s="26"/>
    </row>
    <row r="7" spans="1:23" ht="12.75" customHeight="1" x14ac:dyDescent="0.15">
      <c r="A7" s="52" t="s">
        <v>1</v>
      </c>
      <c r="B7" s="54" t="s">
        <v>2</v>
      </c>
      <c r="C7" s="53" t="s">
        <v>18</v>
      </c>
      <c r="D7" s="53" t="s">
        <v>28</v>
      </c>
      <c r="E7" s="54" t="s">
        <v>344</v>
      </c>
      <c r="F7" s="53" t="s">
        <v>93</v>
      </c>
      <c r="G7" s="53" t="s">
        <v>294</v>
      </c>
      <c r="H7" s="53"/>
      <c r="I7" s="53"/>
      <c r="J7" s="53"/>
      <c r="K7" s="53"/>
      <c r="L7" s="53"/>
      <c r="M7" s="53"/>
      <c r="N7" s="53"/>
      <c r="O7" s="53"/>
      <c r="P7" s="53"/>
      <c r="Q7" s="53"/>
      <c r="R7" s="53"/>
      <c r="S7" s="54" t="s">
        <v>0</v>
      </c>
      <c r="T7" s="94" t="s">
        <v>309</v>
      </c>
      <c r="U7" s="94" t="s">
        <v>308</v>
      </c>
      <c r="V7" s="81" t="s">
        <v>312</v>
      </c>
      <c r="W7" s="83" t="s">
        <v>313</v>
      </c>
    </row>
    <row r="8" spans="1:23" ht="87" customHeight="1" x14ac:dyDescent="0.15">
      <c r="A8" s="52"/>
      <c r="B8" s="54"/>
      <c r="C8" s="53"/>
      <c r="D8" s="53"/>
      <c r="E8" s="54"/>
      <c r="F8" s="53"/>
      <c r="G8" s="30" t="s">
        <v>295</v>
      </c>
      <c r="H8" s="30" t="s">
        <v>296</v>
      </c>
      <c r="I8" s="30" t="s">
        <v>297</v>
      </c>
      <c r="J8" s="30" t="s">
        <v>298</v>
      </c>
      <c r="K8" s="30" t="s">
        <v>299</v>
      </c>
      <c r="L8" s="30" t="s">
        <v>300</v>
      </c>
      <c r="M8" s="30" t="s">
        <v>301</v>
      </c>
      <c r="N8" s="30" t="s">
        <v>302</v>
      </c>
      <c r="O8" s="30" t="s">
        <v>303</v>
      </c>
      <c r="P8" s="30" t="s">
        <v>304</v>
      </c>
      <c r="Q8" s="30" t="s">
        <v>305</v>
      </c>
      <c r="R8" s="30" t="s">
        <v>306</v>
      </c>
      <c r="S8" s="54"/>
      <c r="T8" s="94"/>
      <c r="U8" s="94"/>
      <c r="V8" s="82"/>
      <c r="W8" s="84"/>
    </row>
    <row r="9" spans="1:23" ht="33" customHeight="1" x14ac:dyDescent="0.15">
      <c r="A9" s="60" t="s">
        <v>183</v>
      </c>
      <c r="B9" s="95" t="s">
        <v>189</v>
      </c>
      <c r="C9" s="97" t="s">
        <v>23</v>
      </c>
      <c r="D9" s="97" t="s">
        <v>29</v>
      </c>
      <c r="E9" s="89" t="s">
        <v>85</v>
      </c>
      <c r="F9" s="17" t="s">
        <v>184</v>
      </c>
      <c r="G9" s="17" t="s">
        <v>314</v>
      </c>
      <c r="H9" s="17" t="s">
        <v>314</v>
      </c>
      <c r="I9" s="17" t="s">
        <v>314</v>
      </c>
      <c r="J9" s="17" t="s">
        <v>314</v>
      </c>
      <c r="K9" s="17" t="s">
        <v>314</v>
      </c>
      <c r="L9" s="17" t="s">
        <v>314</v>
      </c>
      <c r="M9" s="17" t="s">
        <v>314</v>
      </c>
      <c r="N9" s="17" t="s">
        <v>314</v>
      </c>
      <c r="O9" s="17" t="s">
        <v>314</v>
      </c>
      <c r="P9" s="17" t="s">
        <v>314</v>
      </c>
      <c r="Q9" s="17" t="s">
        <v>314</v>
      </c>
      <c r="R9" s="17" t="s">
        <v>314</v>
      </c>
      <c r="S9" s="37" t="s">
        <v>8</v>
      </c>
      <c r="T9" s="37"/>
      <c r="U9" s="43"/>
      <c r="V9" s="32">
        <f>7425038/30*5*12</f>
        <v>14850076</v>
      </c>
      <c r="W9" s="26"/>
    </row>
    <row r="10" spans="1:23" ht="38.25" x14ac:dyDescent="0.15">
      <c r="A10" s="60"/>
      <c r="B10" s="95"/>
      <c r="C10" s="97"/>
      <c r="D10" s="97"/>
      <c r="E10" s="89"/>
      <c r="F10" s="17" t="s">
        <v>185</v>
      </c>
      <c r="G10" s="17" t="s">
        <v>314</v>
      </c>
      <c r="H10" s="17" t="s">
        <v>314</v>
      </c>
      <c r="I10" s="17" t="s">
        <v>314</v>
      </c>
      <c r="J10" s="17" t="s">
        <v>314</v>
      </c>
      <c r="K10" s="17" t="s">
        <v>314</v>
      </c>
      <c r="L10" s="17" t="s">
        <v>314</v>
      </c>
      <c r="M10" s="17" t="s">
        <v>314</v>
      </c>
      <c r="N10" s="17" t="s">
        <v>314</v>
      </c>
      <c r="O10" s="17" t="s">
        <v>314</v>
      </c>
      <c r="P10" s="17" t="s">
        <v>314</v>
      </c>
      <c r="Q10" s="17" t="s">
        <v>314</v>
      </c>
      <c r="R10" s="17" t="s">
        <v>314</v>
      </c>
      <c r="S10" s="37" t="s">
        <v>8</v>
      </c>
      <c r="T10" s="37"/>
      <c r="U10" s="43"/>
      <c r="V10" s="32">
        <f>7425038/30*5*12</f>
        <v>14850076</v>
      </c>
      <c r="W10" s="26"/>
    </row>
    <row r="11" spans="1:23" ht="51" x14ac:dyDescent="0.15">
      <c r="A11" s="60"/>
      <c r="B11" s="95"/>
      <c r="C11" s="97"/>
      <c r="D11" s="97"/>
      <c r="E11" s="89"/>
      <c r="F11" s="17" t="s">
        <v>186</v>
      </c>
      <c r="G11" s="17" t="s">
        <v>314</v>
      </c>
      <c r="H11" s="17" t="s">
        <v>314</v>
      </c>
      <c r="I11" s="17" t="s">
        <v>314</v>
      </c>
      <c r="J11" s="17" t="s">
        <v>314</v>
      </c>
      <c r="K11" s="17" t="s">
        <v>314</v>
      </c>
      <c r="L11" s="17" t="s">
        <v>314</v>
      </c>
      <c r="M11" s="17" t="s">
        <v>314</v>
      </c>
      <c r="N11" s="17" t="s">
        <v>314</v>
      </c>
      <c r="O11" s="17" t="s">
        <v>314</v>
      </c>
      <c r="P11" s="17" t="s">
        <v>314</v>
      </c>
      <c r="Q11" s="17" t="s">
        <v>314</v>
      </c>
      <c r="R11" s="17" t="s">
        <v>314</v>
      </c>
      <c r="S11" s="37" t="s">
        <v>334</v>
      </c>
      <c r="T11" s="37"/>
      <c r="U11" s="43"/>
      <c r="V11" s="32">
        <f>7425038/30*5*12</f>
        <v>14850076</v>
      </c>
      <c r="W11" s="26"/>
    </row>
    <row r="12" spans="1:23" ht="93.75" customHeight="1" x14ac:dyDescent="0.15">
      <c r="A12" s="60"/>
      <c r="B12" s="95"/>
      <c r="C12" s="59" t="s">
        <v>31</v>
      </c>
      <c r="D12" s="59" t="s">
        <v>32</v>
      </c>
      <c r="E12" s="89" t="s">
        <v>86</v>
      </c>
      <c r="F12" s="21" t="s">
        <v>187</v>
      </c>
      <c r="G12" s="17" t="s">
        <v>314</v>
      </c>
      <c r="H12" s="17" t="s">
        <v>314</v>
      </c>
      <c r="I12" s="17" t="s">
        <v>314</v>
      </c>
      <c r="J12" s="17" t="s">
        <v>314</v>
      </c>
      <c r="K12" s="17" t="s">
        <v>314</v>
      </c>
      <c r="L12" s="17" t="s">
        <v>314</v>
      </c>
      <c r="M12" s="17" t="s">
        <v>314</v>
      </c>
      <c r="N12" s="17" t="s">
        <v>314</v>
      </c>
      <c r="O12" s="17" t="s">
        <v>314</v>
      </c>
      <c r="P12" s="17" t="s">
        <v>314</v>
      </c>
      <c r="Q12" s="17" t="s">
        <v>314</v>
      </c>
      <c r="R12" s="17" t="s">
        <v>314</v>
      </c>
      <c r="S12" s="37" t="s">
        <v>9</v>
      </c>
      <c r="T12" s="37"/>
      <c r="U12" s="43"/>
      <c r="V12" s="32">
        <f>7425038/30*12</f>
        <v>2970015.2</v>
      </c>
      <c r="W12" s="26"/>
    </row>
    <row r="13" spans="1:23" ht="93" customHeight="1" x14ac:dyDescent="0.15">
      <c r="A13" s="60"/>
      <c r="B13" s="95"/>
      <c r="C13" s="59"/>
      <c r="D13" s="59"/>
      <c r="E13" s="89"/>
      <c r="F13" s="21" t="s">
        <v>188</v>
      </c>
      <c r="G13" s="17"/>
      <c r="H13" s="17"/>
      <c r="I13" s="17"/>
      <c r="J13" s="17"/>
      <c r="K13" s="17"/>
      <c r="L13" s="17" t="s">
        <v>314</v>
      </c>
      <c r="M13" s="17"/>
      <c r="N13" s="17"/>
      <c r="O13" s="17"/>
      <c r="P13" s="17"/>
      <c r="Q13" s="17"/>
      <c r="R13" s="17" t="s">
        <v>314</v>
      </c>
      <c r="S13" s="37" t="s">
        <v>9</v>
      </c>
      <c r="T13" s="37"/>
      <c r="U13" s="43"/>
      <c r="V13" s="32">
        <f>7425038/30*2</f>
        <v>495002.53333333333</v>
      </c>
      <c r="W13" s="26"/>
    </row>
    <row r="14" spans="1:23" ht="63.75" x14ac:dyDescent="0.15">
      <c r="A14" s="60"/>
      <c r="B14" s="95"/>
      <c r="C14" s="21" t="s">
        <v>22</v>
      </c>
      <c r="D14" s="21" t="s">
        <v>37</v>
      </c>
      <c r="E14" s="12" t="s">
        <v>30</v>
      </c>
      <c r="F14" s="21" t="s">
        <v>190</v>
      </c>
      <c r="G14" s="18" t="s">
        <v>314</v>
      </c>
      <c r="H14" s="18" t="s">
        <v>314</v>
      </c>
      <c r="I14" s="18" t="s">
        <v>314</v>
      </c>
      <c r="J14" s="18" t="s">
        <v>314</v>
      </c>
      <c r="K14" s="18" t="s">
        <v>314</v>
      </c>
      <c r="L14" s="18" t="s">
        <v>314</v>
      </c>
      <c r="M14" s="18" t="s">
        <v>314</v>
      </c>
      <c r="N14" s="18" t="s">
        <v>314</v>
      </c>
      <c r="O14" s="18" t="s">
        <v>314</v>
      </c>
      <c r="P14" s="18" t="s">
        <v>314</v>
      </c>
      <c r="Q14" s="18" t="s">
        <v>314</v>
      </c>
      <c r="R14" s="18" t="s">
        <v>314</v>
      </c>
      <c r="S14" s="37" t="s">
        <v>7</v>
      </c>
      <c r="T14" s="37"/>
      <c r="U14" s="43"/>
      <c r="V14" s="32">
        <f>8183281/30*12</f>
        <v>3273312.4</v>
      </c>
      <c r="W14" s="26"/>
    </row>
    <row r="15" spans="1:23" ht="51" x14ac:dyDescent="0.15">
      <c r="A15" s="60"/>
      <c r="B15" s="95"/>
      <c r="C15" s="21" t="s">
        <v>21</v>
      </c>
      <c r="D15" s="21" t="s">
        <v>38</v>
      </c>
      <c r="E15" s="12" t="s">
        <v>30</v>
      </c>
      <c r="F15" s="21" t="s">
        <v>191</v>
      </c>
      <c r="G15" s="18" t="s">
        <v>314</v>
      </c>
      <c r="H15" s="18" t="s">
        <v>314</v>
      </c>
      <c r="I15" s="18" t="s">
        <v>314</v>
      </c>
      <c r="J15" s="18" t="s">
        <v>314</v>
      </c>
      <c r="K15" s="18" t="s">
        <v>314</v>
      </c>
      <c r="L15" s="18" t="s">
        <v>314</v>
      </c>
      <c r="M15" s="18" t="s">
        <v>314</v>
      </c>
      <c r="N15" s="18" t="s">
        <v>314</v>
      </c>
      <c r="O15" s="18" t="s">
        <v>314</v>
      </c>
      <c r="P15" s="18" t="s">
        <v>314</v>
      </c>
      <c r="Q15" s="18" t="s">
        <v>314</v>
      </c>
      <c r="R15" s="18" t="s">
        <v>314</v>
      </c>
      <c r="S15" s="37" t="s">
        <v>10</v>
      </c>
      <c r="T15" s="37"/>
      <c r="U15" s="43"/>
      <c r="V15" s="41">
        <f>6026197/30*12</f>
        <v>2410478.7999999998</v>
      </c>
      <c r="W15" s="26"/>
    </row>
    <row r="16" spans="1:23" ht="51" x14ac:dyDescent="0.15">
      <c r="A16" s="60"/>
      <c r="B16" s="95"/>
      <c r="C16" s="21" t="s">
        <v>20</v>
      </c>
      <c r="D16" s="21" t="s">
        <v>39</v>
      </c>
      <c r="E16" s="12" t="s">
        <v>30</v>
      </c>
      <c r="F16" s="21" t="s">
        <v>192</v>
      </c>
      <c r="G16" s="18" t="s">
        <v>314</v>
      </c>
      <c r="H16" s="18" t="s">
        <v>314</v>
      </c>
      <c r="I16" s="18" t="s">
        <v>314</v>
      </c>
      <c r="J16" s="18" t="s">
        <v>314</v>
      </c>
      <c r="K16" s="18" t="s">
        <v>314</v>
      </c>
      <c r="L16" s="18" t="s">
        <v>314</v>
      </c>
      <c r="M16" s="18" t="s">
        <v>314</v>
      </c>
      <c r="N16" s="18" t="s">
        <v>314</v>
      </c>
      <c r="O16" s="18" t="s">
        <v>314</v>
      </c>
      <c r="P16" s="18" t="s">
        <v>314</v>
      </c>
      <c r="Q16" s="18" t="s">
        <v>314</v>
      </c>
      <c r="R16" s="18" t="s">
        <v>314</v>
      </c>
      <c r="S16" s="37" t="s">
        <v>10</v>
      </c>
      <c r="T16" s="37"/>
      <c r="U16" s="43"/>
      <c r="V16" s="41">
        <f>6026197/30*12</f>
        <v>2410478.7999999998</v>
      </c>
      <c r="W16" s="26"/>
    </row>
    <row r="17" spans="1:23" ht="98.25" customHeight="1" x14ac:dyDescent="0.15">
      <c r="A17" s="60"/>
      <c r="B17" s="95"/>
      <c r="C17" s="21" t="s">
        <v>77</v>
      </c>
      <c r="D17" s="21" t="s">
        <v>92</v>
      </c>
      <c r="E17" s="12" t="s">
        <v>83</v>
      </c>
      <c r="F17" s="21" t="s">
        <v>193</v>
      </c>
      <c r="G17" s="12"/>
      <c r="H17" s="18" t="s">
        <v>314</v>
      </c>
      <c r="I17" s="12"/>
      <c r="J17" s="18" t="s">
        <v>314</v>
      </c>
      <c r="K17" s="12"/>
      <c r="L17" s="18" t="s">
        <v>314</v>
      </c>
      <c r="M17" s="12"/>
      <c r="N17" s="18" t="s">
        <v>314</v>
      </c>
      <c r="O17" s="12"/>
      <c r="P17" s="18" t="s">
        <v>314</v>
      </c>
      <c r="Q17" s="12"/>
      <c r="R17" s="18" t="s">
        <v>314</v>
      </c>
      <c r="S17" s="37" t="s">
        <v>11</v>
      </c>
      <c r="T17" s="37"/>
      <c r="U17" s="43"/>
      <c r="V17" s="32">
        <f>14499535/30*6</f>
        <v>2899907</v>
      </c>
      <c r="W17" s="26"/>
    </row>
    <row r="18" spans="1:23" ht="25.5" x14ac:dyDescent="0.15">
      <c r="A18" s="60"/>
      <c r="B18" s="95"/>
      <c r="C18" s="97" t="s">
        <v>19</v>
      </c>
      <c r="D18" s="97" t="s">
        <v>33</v>
      </c>
      <c r="E18" s="89" t="s">
        <v>82</v>
      </c>
      <c r="F18" s="21" t="s">
        <v>194</v>
      </c>
      <c r="G18" s="18" t="s">
        <v>314</v>
      </c>
      <c r="H18" s="18" t="s">
        <v>314</v>
      </c>
      <c r="I18" s="18" t="s">
        <v>314</v>
      </c>
      <c r="J18" s="18" t="s">
        <v>314</v>
      </c>
      <c r="K18" s="18" t="s">
        <v>314</v>
      </c>
      <c r="L18" s="18" t="s">
        <v>314</v>
      </c>
      <c r="M18" s="18" t="s">
        <v>314</v>
      </c>
      <c r="N18" s="18" t="s">
        <v>314</v>
      </c>
      <c r="O18" s="18" t="s">
        <v>314</v>
      </c>
      <c r="P18" s="18" t="s">
        <v>314</v>
      </c>
      <c r="Q18" s="18" t="s">
        <v>314</v>
      </c>
      <c r="R18" s="18" t="s">
        <v>314</v>
      </c>
      <c r="S18" s="37" t="s">
        <v>11</v>
      </c>
      <c r="T18" s="37"/>
      <c r="U18" s="43"/>
      <c r="V18" s="32">
        <f>14499535/30*12</f>
        <v>5799814</v>
      </c>
      <c r="W18" s="26"/>
    </row>
    <row r="19" spans="1:23" ht="39" customHeight="1" x14ac:dyDescent="0.15">
      <c r="A19" s="60"/>
      <c r="B19" s="95"/>
      <c r="C19" s="97"/>
      <c r="D19" s="97"/>
      <c r="E19" s="89"/>
      <c r="F19" s="19" t="s">
        <v>320</v>
      </c>
      <c r="G19" s="18" t="s">
        <v>314</v>
      </c>
      <c r="H19" s="18" t="s">
        <v>314</v>
      </c>
      <c r="I19" s="18" t="s">
        <v>314</v>
      </c>
      <c r="J19" s="18" t="s">
        <v>314</v>
      </c>
      <c r="K19" s="18" t="s">
        <v>314</v>
      </c>
      <c r="L19" s="18" t="s">
        <v>314</v>
      </c>
      <c r="M19" s="18" t="s">
        <v>314</v>
      </c>
      <c r="N19" s="18" t="s">
        <v>314</v>
      </c>
      <c r="O19" s="18" t="s">
        <v>314</v>
      </c>
      <c r="P19" s="18" t="s">
        <v>314</v>
      </c>
      <c r="Q19" s="18" t="s">
        <v>314</v>
      </c>
      <c r="R19" s="18" t="s">
        <v>314</v>
      </c>
      <c r="S19" s="36" t="s">
        <v>13</v>
      </c>
      <c r="T19" s="37"/>
      <c r="U19" s="43"/>
      <c r="V19" s="32">
        <f>14499535/30*12</f>
        <v>5799814</v>
      </c>
      <c r="W19" s="26"/>
    </row>
    <row r="20" spans="1:23" ht="29.1" customHeight="1" x14ac:dyDescent="0.15">
      <c r="A20" s="60"/>
      <c r="B20" s="95"/>
      <c r="C20" s="97"/>
      <c r="D20" s="97"/>
      <c r="E20" s="89"/>
      <c r="F20" s="19" t="s">
        <v>195</v>
      </c>
      <c r="G20" s="18"/>
      <c r="H20" s="18"/>
      <c r="I20" s="18"/>
      <c r="J20" s="18"/>
      <c r="K20" s="18"/>
      <c r="L20" s="18" t="s">
        <v>314</v>
      </c>
      <c r="M20" s="18"/>
      <c r="N20" s="18"/>
      <c r="O20" s="18"/>
      <c r="P20" s="18"/>
      <c r="Q20" s="18"/>
      <c r="R20" s="18" t="s">
        <v>314</v>
      </c>
      <c r="S20" s="36" t="s">
        <v>14</v>
      </c>
      <c r="T20" s="37"/>
      <c r="U20" s="43"/>
      <c r="V20" s="32">
        <f>7125084/30*2</f>
        <v>475005.6</v>
      </c>
      <c r="W20" s="26"/>
    </row>
    <row r="21" spans="1:23" ht="38.25" x14ac:dyDescent="0.15">
      <c r="A21" s="60" t="s">
        <v>201</v>
      </c>
      <c r="B21" s="95" t="s">
        <v>200</v>
      </c>
      <c r="C21" s="97" t="s">
        <v>80</v>
      </c>
      <c r="D21" s="97" t="s">
        <v>81</v>
      </c>
      <c r="E21" s="89" t="s">
        <v>87</v>
      </c>
      <c r="F21" s="21" t="s">
        <v>196</v>
      </c>
      <c r="G21" s="12"/>
      <c r="H21" s="12"/>
      <c r="I21" s="12"/>
      <c r="J21" s="12"/>
      <c r="K21" s="12"/>
      <c r="L21" s="12"/>
      <c r="M21" s="12" t="s">
        <v>314</v>
      </c>
      <c r="N21" s="12"/>
      <c r="O21" s="12"/>
      <c r="P21" s="12"/>
      <c r="Q21" s="12"/>
      <c r="R21" s="12"/>
      <c r="S21" s="37" t="s">
        <v>7</v>
      </c>
      <c r="T21" s="37"/>
      <c r="U21" s="43"/>
      <c r="V21" s="32">
        <f>8183281/30</f>
        <v>272776.03333333333</v>
      </c>
      <c r="W21" s="26"/>
    </row>
    <row r="22" spans="1:23" ht="38.25" x14ac:dyDescent="0.15">
      <c r="A22" s="60"/>
      <c r="B22" s="95"/>
      <c r="C22" s="97"/>
      <c r="D22" s="97"/>
      <c r="E22" s="89"/>
      <c r="F22" s="21" t="s">
        <v>197</v>
      </c>
      <c r="G22" s="12"/>
      <c r="H22" s="12"/>
      <c r="I22" s="12"/>
      <c r="J22" s="12"/>
      <c r="K22" s="12" t="s">
        <v>314</v>
      </c>
      <c r="L22" s="12"/>
      <c r="M22" s="12"/>
      <c r="N22" s="12"/>
      <c r="O22" s="12"/>
      <c r="P22" s="12"/>
      <c r="Q22" s="12"/>
      <c r="R22" s="12"/>
      <c r="S22" s="37" t="s">
        <v>7</v>
      </c>
      <c r="T22" s="37"/>
      <c r="U22" s="43"/>
      <c r="V22" s="32">
        <f>8183281/30</f>
        <v>272776.03333333333</v>
      </c>
      <c r="W22" s="26"/>
    </row>
    <row r="23" spans="1:23" ht="51" x14ac:dyDescent="0.15">
      <c r="A23" s="60"/>
      <c r="B23" s="95"/>
      <c r="C23" s="97"/>
      <c r="D23" s="97"/>
      <c r="E23" s="89"/>
      <c r="F23" s="21" t="s">
        <v>198</v>
      </c>
      <c r="G23" s="12"/>
      <c r="H23" s="12"/>
      <c r="I23" s="12"/>
      <c r="J23" s="12" t="s">
        <v>314</v>
      </c>
      <c r="K23" s="12"/>
      <c r="L23" s="12"/>
      <c r="M23" s="12"/>
      <c r="N23" s="12"/>
      <c r="O23" s="12"/>
      <c r="P23" s="12"/>
      <c r="Q23" s="12"/>
      <c r="R23" s="12"/>
      <c r="S23" s="37" t="s">
        <v>7</v>
      </c>
      <c r="T23" s="37"/>
      <c r="U23" s="43"/>
      <c r="V23" s="32">
        <f>8183281/30</f>
        <v>272776.03333333333</v>
      </c>
      <c r="W23" s="26"/>
    </row>
    <row r="24" spans="1:23" ht="127.5" customHeight="1" x14ac:dyDescent="0.15">
      <c r="A24" s="60"/>
      <c r="B24" s="95"/>
      <c r="C24" s="99" t="s">
        <v>26</v>
      </c>
      <c r="D24" s="99" t="s">
        <v>36</v>
      </c>
      <c r="E24" s="99" t="s">
        <v>88</v>
      </c>
      <c r="F24" s="15" t="s">
        <v>199</v>
      </c>
      <c r="G24" s="18" t="s">
        <v>314</v>
      </c>
      <c r="H24" s="18" t="s">
        <v>314</v>
      </c>
      <c r="I24" s="18" t="s">
        <v>314</v>
      </c>
      <c r="J24" s="18" t="s">
        <v>314</v>
      </c>
      <c r="K24" s="18" t="s">
        <v>314</v>
      </c>
      <c r="L24" s="18" t="s">
        <v>314</v>
      </c>
      <c r="M24" s="18" t="s">
        <v>314</v>
      </c>
      <c r="N24" s="18" t="s">
        <v>314</v>
      </c>
      <c r="O24" s="18" t="s">
        <v>314</v>
      </c>
      <c r="P24" s="18" t="s">
        <v>314</v>
      </c>
      <c r="Q24" s="18" t="s">
        <v>314</v>
      </c>
      <c r="R24" s="18" t="s">
        <v>314</v>
      </c>
      <c r="S24" s="37" t="s">
        <v>353</v>
      </c>
      <c r="T24" s="37"/>
      <c r="U24" s="43"/>
      <c r="V24" s="32">
        <f>5424345/30*12</f>
        <v>2169738</v>
      </c>
      <c r="W24" s="26"/>
    </row>
    <row r="25" spans="1:23" ht="38.25" x14ac:dyDescent="0.15">
      <c r="A25" s="60"/>
      <c r="B25" s="95"/>
      <c r="C25" s="100"/>
      <c r="D25" s="100"/>
      <c r="E25" s="100"/>
      <c r="F25" s="44" t="s">
        <v>340</v>
      </c>
      <c r="G25" s="45" t="s">
        <v>314</v>
      </c>
      <c r="H25" s="45" t="s">
        <v>314</v>
      </c>
      <c r="I25" s="45" t="s">
        <v>314</v>
      </c>
      <c r="J25" s="45" t="s">
        <v>314</v>
      </c>
      <c r="K25" s="45" t="s">
        <v>314</v>
      </c>
      <c r="L25" s="45" t="s">
        <v>314</v>
      </c>
      <c r="M25" s="45" t="s">
        <v>314</v>
      </c>
      <c r="N25" s="45" t="s">
        <v>314</v>
      </c>
      <c r="O25" s="45" t="s">
        <v>314</v>
      </c>
      <c r="P25" s="45" t="s">
        <v>314</v>
      </c>
      <c r="Q25" s="45" t="s">
        <v>314</v>
      </c>
      <c r="R25" s="45" t="s">
        <v>314</v>
      </c>
      <c r="S25" s="37" t="s">
        <v>341</v>
      </c>
      <c r="T25" s="37"/>
      <c r="U25" s="46"/>
      <c r="V25" s="42">
        <f>6432730/30*12</f>
        <v>2573092</v>
      </c>
      <c r="W25" s="37"/>
    </row>
    <row r="26" spans="1:23" ht="140.25" x14ac:dyDescent="0.15">
      <c r="A26" s="60"/>
      <c r="B26" s="95"/>
      <c r="C26" s="21" t="s">
        <v>27</v>
      </c>
      <c r="D26" s="21" t="s">
        <v>35</v>
      </c>
      <c r="E26" s="12" t="s">
        <v>88</v>
      </c>
      <c r="F26" s="15" t="s">
        <v>202</v>
      </c>
      <c r="G26" s="12"/>
      <c r="H26" s="12"/>
      <c r="I26" s="12"/>
      <c r="J26" s="12"/>
      <c r="K26" s="12"/>
      <c r="L26" s="12"/>
      <c r="M26" s="12" t="s">
        <v>314</v>
      </c>
      <c r="N26" s="12"/>
      <c r="O26" s="12"/>
      <c r="P26" s="12"/>
      <c r="Q26" s="12"/>
      <c r="R26" s="12"/>
      <c r="S26" s="37" t="s">
        <v>14</v>
      </c>
      <c r="T26" s="37"/>
      <c r="U26" s="43"/>
      <c r="V26" s="32">
        <f>6432730/30</f>
        <v>214424.33333333334</v>
      </c>
      <c r="W26" s="26"/>
    </row>
    <row r="27" spans="1:23" ht="51" x14ac:dyDescent="0.15">
      <c r="A27" s="60"/>
      <c r="B27" s="95"/>
      <c r="C27" s="21" t="s">
        <v>25</v>
      </c>
      <c r="D27" s="21" t="s">
        <v>75</v>
      </c>
      <c r="E27" s="12" t="s">
        <v>83</v>
      </c>
      <c r="F27" s="21" t="s">
        <v>321</v>
      </c>
      <c r="G27" s="18" t="s">
        <v>314</v>
      </c>
      <c r="H27" s="18" t="s">
        <v>314</v>
      </c>
      <c r="I27" s="18" t="s">
        <v>314</v>
      </c>
      <c r="J27" s="18" t="s">
        <v>314</v>
      </c>
      <c r="K27" s="18" t="s">
        <v>314</v>
      </c>
      <c r="L27" s="18" t="s">
        <v>314</v>
      </c>
      <c r="M27" s="18" t="s">
        <v>314</v>
      </c>
      <c r="N27" s="18" t="s">
        <v>314</v>
      </c>
      <c r="O27" s="18" t="s">
        <v>314</v>
      </c>
      <c r="P27" s="18" t="s">
        <v>314</v>
      </c>
      <c r="Q27" s="18" t="s">
        <v>314</v>
      </c>
      <c r="R27" s="18" t="s">
        <v>314</v>
      </c>
      <c r="S27" s="37" t="s">
        <v>322</v>
      </c>
      <c r="T27" s="37"/>
      <c r="U27" s="43"/>
      <c r="V27" s="32">
        <f>(6149088+3039944+2891117+2891117+9371578+2637610+2536468)/30*12</f>
        <v>11806768.800000001</v>
      </c>
      <c r="W27" s="26"/>
    </row>
    <row r="28" spans="1:23" ht="51" x14ac:dyDescent="0.15">
      <c r="A28" s="60"/>
      <c r="B28" s="95" t="s">
        <v>203</v>
      </c>
      <c r="C28" s="97" t="s">
        <v>24</v>
      </c>
      <c r="D28" s="97" t="s">
        <v>34</v>
      </c>
      <c r="E28" s="89" t="s">
        <v>83</v>
      </c>
      <c r="F28" s="21" t="s">
        <v>204</v>
      </c>
      <c r="G28" s="18" t="s">
        <v>314</v>
      </c>
      <c r="H28" s="18" t="s">
        <v>314</v>
      </c>
      <c r="I28" s="18" t="s">
        <v>314</v>
      </c>
      <c r="J28" s="18" t="s">
        <v>314</v>
      </c>
      <c r="K28" s="18" t="s">
        <v>314</v>
      </c>
      <c r="L28" s="18" t="s">
        <v>314</v>
      </c>
      <c r="M28" s="18" t="s">
        <v>314</v>
      </c>
      <c r="N28" s="18" t="s">
        <v>314</v>
      </c>
      <c r="O28" s="18" t="s">
        <v>314</v>
      </c>
      <c r="P28" s="18" t="s">
        <v>314</v>
      </c>
      <c r="Q28" s="18" t="s">
        <v>314</v>
      </c>
      <c r="R28" s="18" t="s">
        <v>314</v>
      </c>
      <c r="S28" s="37" t="s">
        <v>351</v>
      </c>
      <c r="T28" s="37"/>
      <c r="U28" s="43"/>
      <c r="V28" s="32">
        <f>5424345/30*12</f>
        <v>2169738</v>
      </c>
      <c r="W28" s="26"/>
    </row>
    <row r="29" spans="1:23" ht="51" x14ac:dyDescent="0.15">
      <c r="A29" s="60"/>
      <c r="B29" s="95"/>
      <c r="C29" s="97"/>
      <c r="D29" s="97"/>
      <c r="E29" s="89"/>
      <c r="F29" s="21" t="s">
        <v>205</v>
      </c>
      <c r="G29" s="12"/>
      <c r="H29" s="18" t="s">
        <v>314</v>
      </c>
      <c r="I29" s="12"/>
      <c r="J29" s="12"/>
      <c r="K29" s="12"/>
      <c r="L29" s="12"/>
      <c r="M29" s="12"/>
      <c r="N29" s="12"/>
      <c r="O29" s="12"/>
      <c r="P29" s="12"/>
      <c r="Q29" s="12"/>
      <c r="R29" s="12"/>
      <c r="S29" s="37" t="s">
        <v>352</v>
      </c>
      <c r="T29" s="37"/>
      <c r="U29" s="43"/>
      <c r="V29" s="32">
        <f>5424345/30</f>
        <v>180811.5</v>
      </c>
      <c r="W29" s="26"/>
    </row>
    <row r="30" spans="1:23" ht="38.25" x14ac:dyDescent="0.15">
      <c r="A30" s="60"/>
      <c r="B30" s="95"/>
      <c r="C30" s="97"/>
      <c r="D30" s="97"/>
      <c r="E30" s="89"/>
      <c r="F30" s="21" t="s">
        <v>206</v>
      </c>
      <c r="G30" s="12" t="s">
        <v>314</v>
      </c>
      <c r="H30" s="12" t="s">
        <v>314</v>
      </c>
      <c r="I30" s="12" t="s">
        <v>314</v>
      </c>
      <c r="J30" s="12" t="s">
        <v>314</v>
      </c>
      <c r="K30" s="12" t="s">
        <v>314</v>
      </c>
      <c r="L30" s="12" t="s">
        <v>314</v>
      </c>
      <c r="M30" s="12" t="s">
        <v>314</v>
      </c>
      <c r="N30" s="12" t="s">
        <v>314</v>
      </c>
      <c r="O30" s="12" t="s">
        <v>314</v>
      </c>
      <c r="P30" s="12" t="s">
        <v>314</v>
      </c>
      <c r="Q30" s="12" t="s">
        <v>314</v>
      </c>
      <c r="R30" s="12" t="s">
        <v>314</v>
      </c>
      <c r="S30" s="37" t="s">
        <v>352</v>
      </c>
      <c r="T30" s="37"/>
      <c r="U30" s="43"/>
      <c r="V30" s="32">
        <f>5424345/30*12</f>
        <v>2169738</v>
      </c>
      <c r="W30" s="26"/>
    </row>
    <row r="31" spans="1:23" ht="38.25" x14ac:dyDescent="0.15">
      <c r="A31" s="60"/>
      <c r="B31" s="95"/>
      <c r="C31" s="97"/>
      <c r="D31" s="97"/>
      <c r="E31" s="89"/>
      <c r="F31" s="19" t="s">
        <v>207</v>
      </c>
      <c r="G31" s="12" t="s">
        <v>314</v>
      </c>
      <c r="H31" s="12" t="s">
        <v>314</v>
      </c>
      <c r="I31" s="12" t="s">
        <v>314</v>
      </c>
      <c r="J31" s="12" t="s">
        <v>314</v>
      </c>
      <c r="K31" s="12" t="s">
        <v>314</v>
      </c>
      <c r="L31" s="12" t="s">
        <v>314</v>
      </c>
      <c r="M31" s="12" t="s">
        <v>314</v>
      </c>
      <c r="N31" s="12" t="s">
        <v>314</v>
      </c>
      <c r="O31" s="12" t="s">
        <v>314</v>
      </c>
      <c r="P31" s="12" t="s">
        <v>314</v>
      </c>
      <c r="Q31" s="12" t="s">
        <v>314</v>
      </c>
      <c r="R31" s="12" t="s">
        <v>314</v>
      </c>
      <c r="S31" s="37" t="s">
        <v>352</v>
      </c>
      <c r="T31" s="37"/>
      <c r="U31" s="43"/>
      <c r="V31" s="32">
        <f>5424345/30*12</f>
        <v>2169738</v>
      </c>
      <c r="W31" s="26"/>
    </row>
    <row r="32" spans="1:23" x14ac:dyDescent="0.15">
      <c r="A32" s="26"/>
      <c r="B32" s="26"/>
      <c r="C32" s="28"/>
      <c r="D32" s="26"/>
      <c r="E32" s="26"/>
      <c r="F32" s="96" t="s">
        <v>343</v>
      </c>
      <c r="G32" s="96"/>
      <c r="H32" s="96"/>
      <c r="I32" s="96"/>
      <c r="J32" s="96"/>
      <c r="K32" s="96"/>
      <c r="L32" s="96"/>
      <c r="M32" s="96"/>
      <c r="N32" s="96"/>
      <c r="O32" s="96"/>
      <c r="P32" s="96"/>
      <c r="Q32" s="96"/>
      <c r="R32" s="96"/>
      <c r="S32" s="96"/>
      <c r="T32" s="96"/>
      <c r="U32" s="96"/>
      <c r="V32" s="26"/>
      <c r="W32" s="26"/>
    </row>
  </sheetData>
  <mergeCells count="41">
    <mergeCell ref="C24:C25"/>
    <mergeCell ref="D24:D25"/>
    <mergeCell ref="E24:E25"/>
    <mergeCell ref="A1:W1"/>
    <mergeCell ref="B3:W3"/>
    <mergeCell ref="B5:W5"/>
    <mergeCell ref="V7:V8"/>
    <mergeCell ref="W7:W8"/>
    <mergeCell ref="A21:A31"/>
    <mergeCell ref="A9:A20"/>
    <mergeCell ref="B9:B20"/>
    <mergeCell ref="B21:B27"/>
    <mergeCell ref="C28:C31"/>
    <mergeCell ref="E12:E13"/>
    <mergeCell ref="E28:E31"/>
    <mergeCell ref="D28:D31"/>
    <mergeCell ref="E18:E20"/>
    <mergeCell ref="C12:C13"/>
    <mergeCell ref="D12:D13"/>
    <mergeCell ref="A4:S4"/>
    <mergeCell ref="A6:S6"/>
    <mergeCell ref="A7:A8"/>
    <mergeCell ref="C18:C20"/>
    <mergeCell ref="D18:D20"/>
    <mergeCell ref="S7:S8"/>
    <mergeCell ref="B28:B31"/>
    <mergeCell ref="T7:T8"/>
    <mergeCell ref="U7:U8"/>
    <mergeCell ref="F32:U32"/>
    <mergeCell ref="C21:C23"/>
    <mergeCell ref="D21:D23"/>
    <mergeCell ref="E21:E23"/>
    <mergeCell ref="C9:C11"/>
    <mergeCell ref="E9:E11"/>
    <mergeCell ref="D9:D11"/>
    <mergeCell ref="B7:B8"/>
    <mergeCell ref="C7:C8"/>
    <mergeCell ref="D7:D8"/>
    <mergeCell ref="E7:E8"/>
    <mergeCell ref="F7:F8"/>
    <mergeCell ref="G7:R7"/>
  </mergeCells>
  <phoneticPr fontId="12" type="noConversion"/>
  <pageMargins left="0.27559055118110237" right="0.15748031496062992" top="0.35433070866141736" bottom="0.39370078740157483" header="0.31496062992125984" footer="0.31496062992125984"/>
  <pageSetup scale="60" orientation="landscape" r:id="rId1"/>
  <rowBreaks count="1" manualBreakCount="1">
    <brk id="2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W26"/>
  <sheetViews>
    <sheetView tabSelected="1" zoomScaleNormal="100" workbookViewId="0">
      <selection activeCell="A2" sqref="A2"/>
    </sheetView>
  </sheetViews>
  <sheetFormatPr baseColWidth="10" defaultColWidth="11.42578125" defaultRowHeight="8.25" x14ac:dyDescent="0.15"/>
  <cols>
    <col min="1" max="1" width="18.140625" style="1" customWidth="1"/>
    <col min="2" max="2" width="21.140625" style="1" customWidth="1"/>
    <col min="3" max="3" width="19.42578125" style="1" customWidth="1"/>
    <col min="4" max="4" width="26.7109375" style="1" customWidth="1"/>
    <col min="5" max="5" width="8.140625" style="1" customWidth="1"/>
    <col min="6" max="6" width="53.85546875" style="1" customWidth="1"/>
    <col min="7" max="17" width="3.85546875" style="1" customWidth="1"/>
    <col min="18" max="18" width="4" style="1" customWidth="1"/>
    <col min="19" max="19" width="16" style="1" customWidth="1"/>
    <col min="20" max="20" width="13.28515625" style="1" customWidth="1"/>
    <col min="21" max="21" width="13.7109375" style="1" customWidth="1"/>
    <col min="22" max="16384" width="11.42578125" style="1"/>
  </cols>
  <sheetData>
    <row r="1" spans="1:23" ht="57.6" customHeight="1" x14ac:dyDescent="0.15">
      <c r="A1" s="64" t="s">
        <v>359</v>
      </c>
      <c r="B1" s="65"/>
      <c r="C1" s="65"/>
      <c r="D1" s="65"/>
      <c r="E1" s="65"/>
      <c r="F1" s="65"/>
      <c r="G1" s="65"/>
      <c r="H1" s="65"/>
      <c r="I1" s="65"/>
      <c r="J1" s="65"/>
      <c r="K1" s="65"/>
      <c r="L1" s="65"/>
      <c r="M1" s="65"/>
      <c r="N1" s="65"/>
      <c r="O1" s="65"/>
      <c r="P1" s="65"/>
      <c r="Q1" s="65"/>
      <c r="R1" s="65"/>
      <c r="S1" s="65"/>
      <c r="T1" s="65"/>
      <c r="U1" s="65"/>
      <c r="V1" s="65"/>
      <c r="W1" s="66"/>
    </row>
    <row r="2" spans="1:23" ht="12.6" customHeight="1" x14ac:dyDescent="0.15">
      <c r="A2" s="23"/>
      <c r="B2" s="24"/>
      <c r="C2" s="24"/>
      <c r="D2" s="24"/>
      <c r="E2" s="24"/>
      <c r="F2" s="24"/>
      <c r="G2" s="24"/>
      <c r="H2" s="24"/>
      <c r="I2" s="24"/>
      <c r="J2" s="24"/>
      <c r="K2" s="24"/>
      <c r="L2" s="24"/>
      <c r="M2" s="24"/>
      <c r="N2" s="24"/>
      <c r="O2" s="24"/>
      <c r="P2" s="24"/>
      <c r="Q2" s="24"/>
      <c r="R2" s="24"/>
      <c r="S2" s="24"/>
      <c r="T2" s="26"/>
      <c r="U2" s="26"/>
      <c r="V2" s="26"/>
      <c r="W2" s="26"/>
    </row>
    <row r="3" spans="1:23" ht="41.65" customHeight="1" x14ac:dyDescent="0.15">
      <c r="A3" s="9" t="s">
        <v>228</v>
      </c>
      <c r="B3" s="67" t="s">
        <v>208</v>
      </c>
      <c r="C3" s="68"/>
      <c r="D3" s="68"/>
      <c r="E3" s="68"/>
      <c r="F3" s="68"/>
      <c r="G3" s="68"/>
      <c r="H3" s="68"/>
      <c r="I3" s="68"/>
      <c r="J3" s="68"/>
      <c r="K3" s="68"/>
      <c r="L3" s="68"/>
      <c r="M3" s="68"/>
      <c r="N3" s="68"/>
      <c r="O3" s="68"/>
      <c r="P3" s="68"/>
      <c r="Q3" s="68"/>
      <c r="R3" s="68"/>
      <c r="S3" s="68"/>
      <c r="T3" s="68"/>
      <c r="U3" s="68"/>
      <c r="V3" s="68"/>
      <c r="W3" s="69"/>
    </row>
    <row r="4" spans="1:23" ht="15.75" x14ac:dyDescent="0.15">
      <c r="A4" s="104"/>
      <c r="B4" s="104"/>
      <c r="C4" s="104"/>
      <c r="D4" s="104"/>
      <c r="E4" s="104"/>
      <c r="F4" s="104"/>
      <c r="G4" s="104"/>
      <c r="H4" s="104"/>
      <c r="I4" s="104"/>
      <c r="J4" s="104"/>
      <c r="K4" s="104"/>
      <c r="L4" s="104"/>
      <c r="M4" s="104"/>
      <c r="N4" s="104"/>
      <c r="O4" s="104"/>
      <c r="P4" s="104"/>
      <c r="Q4" s="104"/>
      <c r="R4" s="104"/>
      <c r="S4" s="104"/>
      <c r="T4" s="104"/>
      <c r="U4" s="104"/>
      <c r="V4" s="26"/>
      <c r="W4" s="26"/>
    </row>
    <row r="5" spans="1:23" s="2" customFormat="1" ht="43.9" customHeight="1" x14ac:dyDescent="0.15">
      <c r="A5" s="10" t="s">
        <v>106</v>
      </c>
      <c r="B5" s="70" t="s">
        <v>5</v>
      </c>
      <c r="C5" s="71"/>
      <c r="D5" s="71"/>
      <c r="E5" s="71"/>
      <c r="F5" s="71"/>
      <c r="G5" s="71"/>
      <c r="H5" s="71"/>
      <c r="I5" s="71"/>
      <c r="J5" s="71"/>
      <c r="K5" s="71"/>
      <c r="L5" s="71"/>
      <c r="M5" s="71"/>
      <c r="N5" s="71"/>
      <c r="O5" s="71"/>
      <c r="P5" s="71"/>
      <c r="Q5" s="71"/>
      <c r="R5" s="71"/>
      <c r="S5" s="71"/>
      <c r="T5" s="71"/>
      <c r="U5" s="71"/>
      <c r="V5" s="71"/>
      <c r="W5" s="72"/>
    </row>
    <row r="6" spans="1:23" ht="13.5" customHeight="1" x14ac:dyDescent="0.15">
      <c r="A6" s="85"/>
      <c r="B6" s="85"/>
      <c r="C6" s="85"/>
      <c r="D6" s="85"/>
      <c r="E6" s="85"/>
      <c r="F6" s="85"/>
      <c r="G6" s="85"/>
      <c r="H6" s="85"/>
      <c r="I6" s="85"/>
      <c r="J6" s="85"/>
      <c r="K6" s="85"/>
      <c r="L6" s="85"/>
      <c r="M6" s="85"/>
      <c r="N6" s="85"/>
      <c r="O6" s="85"/>
      <c r="P6" s="85"/>
      <c r="Q6" s="85"/>
      <c r="R6" s="85"/>
      <c r="S6" s="85"/>
      <c r="T6" s="26"/>
      <c r="U6" s="26"/>
      <c r="V6" s="26"/>
      <c r="W6" s="26"/>
    </row>
    <row r="7" spans="1:23" ht="12.95" customHeight="1" x14ac:dyDescent="0.15">
      <c r="A7" s="52" t="s">
        <v>1</v>
      </c>
      <c r="B7" s="54" t="s">
        <v>2</v>
      </c>
      <c r="C7" s="53" t="s">
        <v>18</v>
      </c>
      <c r="D7" s="53" t="s">
        <v>28</v>
      </c>
      <c r="E7" s="54" t="s">
        <v>344</v>
      </c>
      <c r="F7" s="53" t="s">
        <v>41</v>
      </c>
      <c r="G7" s="53" t="s">
        <v>294</v>
      </c>
      <c r="H7" s="53"/>
      <c r="I7" s="53"/>
      <c r="J7" s="53"/>
      <c r="K7" s="53"/>
      <c r="L7" s="53"/>
      <c r="M7" s="53"/>
      <c r="N7" s="53"/>
      <c r="O7" s="53"/>
      <c r="P7" s="53"/>
      <c r="Q7" s="53"/>
      <c r="R7" s="53"/>
      <c r="S7" s="54" t="s">
        <v>0</v>
      </c>
      <c r="T7" s="105" t="s">
        <v>309</v>
      </c>
      <c r="U7" s="105" t="s">
        <v>308</v>
      </c>
      <c r="V7" s="81" t="s">
        <v>312</v>
      </c>
      <c r="W7" s="81" t="s">
        <v>313</v>
      </c>
    </row>
    <row r="8" spans="1:23" ht="12.95" customHeight="1" x14ac:dyDescent="0.15">
      <c r="A8" s="52"/>
      <c r="B8" s="54"/>
      <c r="C8" s="53"/>
      <c r="D8" s="53"/>
      <c r="E8" s="54"/>
      <c r="F8" s="53"/>
      <c r="G8" s="101" t="s">
        <v>295</v>
      </c>
      <c r="H8" s="101" t="s">
        <v>296</v>
      </c>
      <c r="I8" s="101" t="s">
        <v>297</v>
      </c>
      <c r="J8" s="101" t="s">
        <v>298</v>
      </c>
      <c r="K8" s="101" t="s">
        <v>299</v>
      </c>
      <c r="L8" s="101" t="s">
        <v>300</v>
      </c>
      <c r="M8" s="101" t="s">
        <v>301</v>
      </c>
      <c r="N8" s="101" t="s">
        <v>302</v>
      </c>
      <c r="O8" s="101" t="s">
        <v>303</v>
      </c>
      <c r="P8" s="101" t="s">
        <v>304</v>
      </c>
      <c r="Q8" s="101" t="s">
        <v>305</v>
      </c>
      <c r="R8" s="101" t="s">
        <v>306</v>
      </c>
      <c r="S8" s="54"/>
      <c r="T8" s="105"/>
      <c r="U8" s="105"/>
      <c r="V8" s="103"/>
      <c r="W8" s="103"/>
    </row>
    <row r="9" spans="1:23" ht="25.15" customHeight="1" x14ac:dyDescent="0.15">
      <c r="A9" s="52"/>
      <c r="B9" s="54"/>
      <c r="C9" s="53"/>
      <c r="D9" s="53"/>
      <c r="E9" s="54"/>
      <c r="F9" s="53"/>
      <c r="G9" s="101"/>
      <c r="H9" s="101"/>
      <c r="I9" s="101"/>
      <c r="J9" s="101"/>
      <c r="K9" s="101"/>
      <c r="L9" s="101"/>
      <c r="M9" s="101"/>
      <c r="N9" s="101"/>
      <c r="O9" s="101"/>
      <c r="P9" s="101"/>
      <c r="Q9" s="101"/>
      <c r="R9" s="101"/>
      <c r="S9" s="54"/>
      <c r="T9" s="105"/>
      <c r="U9" s="105"/>
      <c r="V9" s="82"/>
      <c r="W9" s="82"/>
    </row>
    <row r="10" spans="1:23" ht="51" x14ac:dyDescent="0.15">
      <c r="A10" s="59" t="s">
        <v>208</v>
      </c>
      <c r="B10" s="102" t="s">
        <v>209</v>
      </c>
      <c r="C10" s="59" t="s">
        <v>58</v>
      </c>
      <c r="D10" s="59" t="s">
        <v>59</v>
      </c>
      <c r="E10" s="60" t="s">
        <v>90</v>
      </c>
      <c r="F10" s="17" t="s">
        <v>337</v>
      </c>
      <c r="G10" s="18"/>
      <c r="H10" s="18"/>
      <c r="I10" s="18" t="s">
        <v>314</v>
      </c>
      <c r="J10" s="18"/>
      <c r="K10" s="18"/>
      <c r="L10" s="18" t="s">
        <v>314</v>
      </c>
      <c r="M10" s="18"/>
      <c r="N10" s="18"/>
      <c r="O10" s="18" t="s">
        <v>314</v>
      </c>
      <c r="P10" s="18"/>
      <c r="Q10" s="18"/>
      <c r="R10" s="18" t="s">
        <v>314</v>
      </c>
      <c r="S10" s="39" t="s">
        <v>338</v>
      </c>
      <c r="T10" s="39"/>
      <c r="U10" s="46"/>
      <c r="V10" s="42">
        <f>(6012649/30*3+21841958/30)*4</f>
        <v>5317320.666666667</v>
      </c>
      <c r="W10" s="35"/>
    </row>
    <row r="11" spans="1:23" ht="51" x14ac:dyDescent="0.15">
      <c r="A11" s="59"/>
      <c r="B11" s="102"/>
      <c r="C11" s="59"/>
      <c r="D11" s="59"/>
      <c r="E11" s="60"/>
      <c r="F11" s="17" t="s">
        <v>210</v>
      </c>
      <c r="G11" s="18"/>
      <c r="H11" s="18"/>
      <c r="I11" s="18" t="s">
        <v>314</v>
      </c>
      <c r="J11" s="18"/>
      <c r="K11" s="18"/>
      <c r="L11" s="18" t="s">
        <v>314</v>
      </c>
      <c r="M11" s="18"/>
      <c r="N11" s="18"/>
      <c r="O11" s="18" t="s">
        <v>314</v>
      </c>
      <c r="P11" s="18"/>
      <c r="Q11" s="18"/>
      <c r="R11" s="18" t="s">
        <v>314</v>
      </c>
      <c r="S11" s="39" t="s">
        <v>338</v>
      </c>
      <c r="T11" s="39"/>
      <c r="U11" s="46"/>
      <c r="V11" s="42">
        <f>(6012649/30*3+21841958/30)*4</f>
        <v>5317320.666666667</v>
      </c>
      <c r="W11" s="35"/>
    </row>
    <row r="12" spans="1:23" ht="38.25" x14ac:dyDescent="0.15">
      <c r="A12" s="60" t="s">
        <v>214</v>
      </c>
      <c r="B12" s="77" t="s">
        <v>215</v>
      </c>
      <c r="C12" s="59" t="s">
        <v>60</v>
      </c>
      <c r="D12" s="59" t="s">
        <v>61</v>
      </c>
      <c r="E12" s="60" t="s">
        <v>83</v>
      </c>
      <c r="F12" s="19" t="s">
        <v>211</v>
      </c>
      <c r="G12" s="18" t="s">
        <v>314</v>
      </c>
      <c r="H12" s="18"/>
      <c r="I12" s="18"/>
      <c r="J12" s="18"/>
      <c r="K12" s="18"/>
      <c r="L12" s="18"/>
      <c r="M12" s="18"/>
      <c r="N12" s="18"/>
      <c r="O12" s="18"/>
      <c r="P12" s="18"/>
      <c r="Q12" s="18"/>
      <c r="R12" s="18"/>
      <c r="S12" s="40" t="s">
        <v>354</v>
      </c>
      <c r="T12" s="40"/>
      <c r="U12" s="43"/>
      <c r="V12" s="42">
        <f>9134408/30</f>
        <v>304480.26666666666</v>
      </c>
      <c r="W12" s="26"/>
    </row>
    <row r="13" spans="1:23" ht="51" x14ac:dyDescent="0.15">
      <c r="A13" s="60"/>
      <c r="B13" s="77"/>
      <c r="C13" s="59"/>
      <c r="D13" s="59"/>
      <c r="E13" s="60"/>
      <c r="F13" s="19" t="s">
        <v>212</v>
      </c>
      <c r="G13" s="18" t="s">
        <v>314</v>
      </c>
      <c r="H13" s="18" t="s">
        <v>314</v>
      </c>
      <c r="I13" s="18" t="s">
        <v>314</v>
      </c>
      <c r="J13" s="18" t="s">
        <v>314</v>
      </c>
      <c r="K13" s="18" t="s">
        <v>314</v>
      </c>
      <c r="L13" s="18" t="s">
        <v>314</v>
      </c>
      <c r="M13" s="18" t="s">
        <v>314</v>
      </c>
      <c r="N13" s="18" t="s">
        <v>314</v>
      </c>
      <c r="O13" s="18" t="s">
        <v>314</v>
      </c>
      <c r="P13" s="18" t="s">
        <v>314</v>
      </c>
      <c r="Q13" s="18" t="s">
        <v>314</v>
      </c>
      <c r="R13" s="18" t="s">
        <v>314</v>
      </c>
      <c r="S13" s="40" t="s">
        <v>336</v>
      </c>
      <c r="T13" s="40"/>
      <c r="U13" s="43"/>
      <c r="V13" s="42">
        <f>9790975/30*12</f>
        <v>3916390</v>
      </c>
      <c r="W13" s="26"/>
    </row>
    <row r="14" spans="1:23" ht="63.75" x14ac:dyDescent="0.15">
      <c r="A14" s="60"/>
      <c r="B14" s="77"/>
      <c r="C14" s="17" t="s">
        <v>63</v>
      </c>
      <c r="D14" s="17" t="s">
        <v>64</v>
      </c>
      <c r="E14" s="18" t="s">
        <v>83</v>
      </c>
      <c r="F14" s="17" t="s">
        <v>213</v>
      </c>
      <c r="G14" s="18"/>
      <c r="H14" s="18"/>
      <c r="I14" s="18"/>
      <c r="J14" s="18"/>
      <c r="K14" s="18"/>
      <c r="L14" s="18" t="s">
        <v>314</v>
      </c>
      <c r="M14" s="18"/>
      <c r="N14" s="18"/>
      <c r="O14" s="18"/>
      <c r="P14" s="18"/>
      <c r="Q14" s="18"/>
      <c r="R14" s="18" t="s">
        <v>314</v>
      </c>
      <c r="S14" s="40" t="s">
        <v>354</v>
      </c>
      <c r="T14" s="40"/>
      <c r="U14" s="43"/>
      <c r="V14" s="42">
        <f>9790975/30*2</f>
        <v>652731.66666666663</v>
      </c>
      <c r="W14" s="26"/>
    </row>
    <row r="15" spans="1:23" ht="311.25" customHeight="1" x14ac:dyDescent="0.15">
      <c r="A15" s="60"/>
      <c r="B15" s="77"/>
      <c r="C15" s="17" t="s">
        <v>103</v>
      </c>
      <c r="D15" s="17" t="s">
        <v>62</v>
      </c>
      <c r="E15" s="18" t="s">
        <v>83</v>
      </c>
      <c r="F15" s="17" t="s">
        <v>216</v>
      </c>
      <c r="G15" s="18" t="s">
        <v>314</v>
      </c>
      <c r="H15" s="18" t="s">
        <v>314</v>
      </c>
      <c r="I15" s="18" t="s">
        <v>314</v>
      </c>
      <c r="J15" s="18" t="s">
        <v>314</v>
      </c>
      <c r="K15" s="18" t="s">
        <v>314</v>
      </c>
      <c r="L15" s="18" t="s">
        <v>314</v>
      </c>
      <c r="M15" s="18" t="s">
        <v>314</v>
      </c>
      <c r="N15" s="18" t="s">
        <v>314</v>
      </c>
      <c r="O15" s="18" t="s">
        <v>314</v>
      </c>
      <c r="P15" s="18" t="s">
        <v>314</v>
      </c>
      <c r="Q15" s="18" t="s">
        <v>314</v>
      </c>
      <c r="R15" s="18" t="s">
        <v>314</v>
      </c>
      <c r="S15" s="40" t="s">
        <v>354</v>
      </c>
      <c r="T15" s="40"/>
      <c r="U15" s="43"/>
      <c r="V15" s="42">
        <f>9790975/30*12+100000000</f>
        <v>103916390</v>
      </c>
      <c r="W15" s="26"/>
    </row>
    <row r="16" spans="1:23" ht="38.25" x14ac:dyDescent="0.15">
      <c r="A16" s="60" t="s">
        <v>217</v>
      </c>
      <c r="B16" s="102" t="s">
        <v>218</v>
      </c>
      <c r="C16" s="59" t="s">
        <v>102</v>
      </c>
      <c r="D16" s="59" t="s">
        <v>66</v>
      </c>
      <c r="E16" s="60">
        <v>1</v>
      </c>
      <c r="F16" s="19" t="s">
        <v>219</v>
      </c>
      <c r="G16" s="18"/>
      <c r="H16" s="18" t="s">
        <v>314</v>
      </c>
      <c r="I16" s="18"/>
      <c r="J16" s="18"/>
      <c r="K16" s="18"/>
      <c r="L16" s="18"/>
      <c r="M16" s="18"/>
      <c r="N16" s="18"/>
      <c r="O16" s="18"/>
      <c r="P16" s="18"/>
      <c r="Q16" s="18"/>
      <c r="R16" s="18"/>
      <c r="S16" s="40" t="s">
        <v>355</v>
      </c>
      <c r="T16" s="40"/>
      <c r="U16" s="43"/>
      <c r="V16" s="42">
        <f>9790975/30*3+4560744/30*3</f>
        <v>1435171.9</v>
      </c>
      <c r="W16" s="26"/>
    </row>
    <row r="17" spans="1:23" ht="32.1" customHeight="1" x14ac:dyDescent="0.15">
      <c r="A17" s="60"/>
      <c r="B17" s="102"/>
      <c r="C17" s="59"/>
      <c r="D17" s="59"/>
      <c r="E17" s="60"/>
      <c r="F17" s="17" t="s">
        <v>220</v>
      </c>
      <c r="G17" s="18" t="s">
        <v>314</v>
      </c>
      <c r="H17" s="18"/>
      <c r="I17" s="18"/>
      <c r="J17" s="18"/>
      <c r="K17" s="18"/>
      <c r="L17" s="18"/>
      <c r="M17" s="18"/>
      <c r="N17" s="18"/>
      <c r="O17" s="18"/>
      <c r="P17" s="18"/>
      <c r="Q17" s="18"/>
      <c r="R17" s="18"/>
      <c r="S17" s="40" t="s">
        <v>355</v>
      </c>
      <c r="T17" s="40"/>
      <c r="U17" s="43"/>
      <c r="V17" s="42">
        <f>9790975/30*3+4560744/30*3</f>
        <v>1435171.9</v>
      </c>
      <c r="W17" s="26"/>
    </row>
    <row r="18" spans="1:23" ht="63.75" x14ac:dyDescent="0.15">
      <c r="A18" s="60"/>
      <c r="B18" s="102"/>
      <c r="C18" s="17" t="s">
        <v>101</v>
      </c>
      <c r="D18" s="17" t="s">
        <v>67</v>
      </c>
      <c r="E18" s="18">
        <v>1</v>
      </c>
      <c r="F18" s="19" t="s">
        <v>221</v>
      </c>
      <c r="G18" s="18"/>
      <c r="H18" s="18"/>
      <c r="I18" s="18"/>
      <c r="J18" s="18"/>
      <c r="K18" s="18"/>
      <c r="L18" s="18" t="s">
        <v>314</v>
      </c>
      <c r="M18" s="18"/>
      <c r="N18" s="18"/>
      <c r="O18" s="18"/>
      <c r="P18" s="18"/>
      <c r="Q18" s="18"/>
      <c r="R18" s="18" t="s">
        <v>314</v>
      </c>
      <c r="S18" s="40" t="s">
        <v>355</v>
      </c>
      <c r="T18" s="40"/>
      <c r="U18" s="43"/>
      <c r="V18" s="42">
        <f>9790975/30*3*2+4560744/30*3*2</f>
        <v>2870343.8</v>
      </c>
      <c r="W18" s="26"/>
    </row>
    <row r="19" spans="1:23" ht="25.5" x14ac:dyDescent="0.15">
      <c r="A19" s="60"/>
      <c r="B19" s="102"/>
      <c r="C19" s="59" t="s">
        <v>100</v>
      </c>
      <c r="D19" s="59" t="s">
        <v>76</v>
      </c>
      <c r="E19" s="60">
        <v>1</v>
      </c>
      <c r="F19" s="19" t="s">
        <v>222</v>
      </c>
      <c r="G19" s="18"/>
      <c r="H19" s="18"/>
      <c r="I19" s="18" t="s">
        <v>314</v>
      </c>
      <c r="J19" s="18"/>
      <c r="K19" s="18"/>
      <c r="L19" s="18"/>
      <c r="M19" s="18"/>
      <c r="N19" s="18"/>
      <c r="O19" s="18"/>
      <c r="P19" s="18"/>
      <c r="Q19" s="18"/>
      <c r="R19" s="18"/>
      <c r="S19" s="40" t="s">
        <v>15</v>
      </c>
      <c r="T19" s="40"/>
      <c r="U19" s="43"/>
      <c r="V19" s="42">
        <f>4511392/30*3+4560744/30*3</f>
        <v>907213.6</v>
      </c>
      <c r="W19" s="26"/>
    </row>
    <row r="20" spans="1:23" ht="51" x14ac:dyDescent="0.15">
      <c r="A20" s="60"/>
      <c r="B20" s="102"/>
      <c r="C20" s="59"/>
      <c r="D20" s="59"/>
      <c r="E20" s="60"/>
      <c r="F20" s="19" t="s">
        <v>223</v>
      </c>
      <c r="G20" s="18"/>
      <c r="H20" s="18"/>
      <c r="I20" s="18" t="s">
        <v>314</v>
      </c>
      <c r="J20" s="18"/>
      <c r="K20" s="18"/>
      <c r="L20" s="18" t="s">
        <v>314</v>
      </c>
      <c r="M20" s="18"/>
      <c r="N20" s="18"/>
      <c r="O20" s="18" t="s">
        <v>314</v>
      </c>
      <c r="P20" s="18"/>
      <c r="Q20" s="18"/>
      <c r="R20" s="18" t="s">
        <v>314</v>
      </c>
      <c r="S20" s="40" t="s">
        <v>323</v>
      </c>
      <c r="T20" s="40"/>
      <c r="U20" s="43"/>
      <c r="V20" s="42">
        <f>4560744/30*3*4+21841958/30*3*4</f>
        <v>10561080.800000001</v>
      </c>
      <c r="W20" s="26"/>
    </row>
    <row r="21" spans="1:23" ht="38.25" x14ac:dyDescent="0.15">
      <c r="A21" s="60"/>
      <c r="B21" s="102"/>
      <c r="C21" s="59"/>
      <c r="D21" s="59"/>
      <c r="E21" s="60"/>
      <c r="F21" s="19" t="s">
        <v>324</v>
      </c>
      <c r="G21" s="18"/>
      <c r="H21" s="18"/>
      <c r="I21" s="18"/>
      <c r="J21" s="18"/>
      <c r="K21" s="18"/>
      <c r="L21" s="18"/>
      <c r="M21" s="18"/>
      <c r="N21" s="18"/>
      <c r="O21" s="18"/>
      <c r="P21" s="18"/>
      <c r="Q21" s="18"/>
      <c r="R21" s="18"/>
      <c r="S21" s="40" t="s">
        <v>323</v>
      </c>
      <c r="T21" s="40"/>
      <c r="U21" s="43"/>
      <c r="V21" s="42">
        <v>60000000</v>
      </c>
      <c r="W21" s="26"/>
    </row>
    <row r="22" spans="1:23" ht="25.5" x14ac:dyDescent="0.15">
      <c r="A22" s="60"/>
      <c r="B22" s="102"/>
      <c r="C22" s="59"/>
      <c r="D22" s="59"/>
      <c r="E22" s="60"/>
      <c r="F22" s="17" t="s">
        <v>224</v>
      </c>
      <c r="G22" s="18"/>
      <c r="H22" s="18"/>
      <c r="I22" s="18"/>
      <c r="J22" s="18"/>
      <c r="K22" s="18"/>
      <c r="L22" s="18"/>
      <c r="M22" s="18" t="s">
        <v>314</v>
      </c>
      <c r="N22" s="18"/>
      <c r="O22" s="18"/>
      <c r="P22" s="18"/>
      <c r="Q22" s="18"/>
      <c r="R22" s="18"/>
      <c r="S22" s="38" t="s">
        <v>336</v>
      </c>
      <c r="T22" s="40"/>
      <c r="U22" s="43"/>
      <c r="V22" s="42">
        <v>60000000</v>
      </c>
      <c r="W22" s="26"/>
    </row>
    <row r="23" spans="1:23" s="7" customFormat="1" ht="51" x14ac:dyDescent="0.25">
      <c r="A23" s="60"/>
      <c r="B23" s="102"/>
      <c r="C23" s="59" t="s">
        <v>99</v>
      </c>
      <c r="D23" s="59" t="s">
        <v>65</v>
      </c>
      <c r="E23" s="60">
        <v>1</v>
      </c>
      <c r="F23" s="17" t="s">
        <v>225</v>
      </c>
      <c r="G23" s="18"/>
      <c r="H23" s="18"/>
      <c r="I23" s="18"/>
      <c r="J23" s="18"/>
      <c r="K23" s="18"/>
      <c r="L23" s="18"/>
      <c r="M23" s="18"/>
      <c r="N23" s="18" t="s">
        <v>314</v>
      </c>
      <c r="O23" s="18"/>
      <c r="P23" s="18"/>
      <c r="Q23" s="18"/>
      <c r="R23" s="18"/>
      <c r="S23" s="38" t="s">
        <v>335</v>
      </c>
      <c r="T23" s="40"/>
      <c r="U23" s="43"/>
      <c r="V23" s="42">
        <f>3077430*4+150000000</f>
        <v>162309720</v>
      </c>
      <c r="W23" s="29"/>
    </row>
    <row r="24" spans="1:23" s="7" customFormat="1" ht="51" x14ac:dyDescent="0.25">
      <c r="A24" s="60"/>
      <c r="B24" s="102"/>
      <c r="C24" s="59"/>
      <c r="D24" s="59"/>
      <c r="E24" s="60"/>
      <c r="F24" s="17" t="s">
        <v>226</v>
      </c>
      <c r="G24" s="18"/>
      <c r="H24" s="18"/>
      <c r="I24" s="18"/>
      <c r="J24" s="18"/>
      <c r="K24" s="18"/>
      <c r="L24" s="18" t="s">
        <v>314</v>
      </c>
      <c r="M24" s="18"/>
      <c r="N24" s="18"/>
      <c r="O24" s="18"/>
      <c r="P24" s="18"/>
      <c r="Q24" s="18"/>
      <c r="R24" s="18"/>
      <c r="S24" s="38" t="s">
        <v>335</v>
      </c>
      <c r="T24" s="40"/>
      <c r="U24" s="43"/>
      <c r="V24" s="42">
        <f>(9790975+30774309*4)/30</f>
        <v>4429607.0333333332</v>
      </c>
      <c r="W24" s="29"/>
    </row>
    <row r="25" spans="1:23" s="7" customFormat="1" ht="51" x14ac:dyDescent="0.25">
      <c r="A25" s="60"/>
      <c r="B25" s="102"/>
      <c r="C25" s="59"/>
      <c r="D25" s="59"/>
      <c r="E25" s="60"/>
      <c r="F25" s="17" t="s">
        <v>227</v>
      </c>
      <c r="G25" s="18" t="s">
        <v>314</v>
      </c>
      <c r="H25" s="18"/>
      <c r="I25" s="18"/>
      <c r="J25" s="18"/>
      <c r="K25" s="18"/>
      <c r="L25" s="18"/>
      <c r="M25" s="18"/>
      <c r="N25" s="18"/>
      <c r="O25" s="18"/>
      <c r="P25" s="18"/>
      <c r="Q25" s="18"/>
      <c r="R25" s="18"/>
      <c r="S25" s="38" t="s">
        <v>12</v>
      </c>
      <c r="T25" s="40"/>
      <c r="U25" s="43"/>
      <c r="V25" s="32">
        <f>(9790975*3+13527222+21841958+7425038*5+5424345+4600000+6432730+6026197+8183281)/30*3</f>
        <v>13253384.800000001</v>
      </c>
      <c r="W25" s="29"/>
    </row>
    <row r="26" spans="1:23" ht="12.75" x14ac:dyDescent="0.15">
      <c r="A26" s="26"/>
      <c r="B26" s="26"/>
      <c r="C26" s="26"/>
      <c r="D26" s="26"/>
      <c r="E26" s="26"/>
      <c r="F26" s="61" t="s">
        <v>343</v>
      </c>
      <c r="G26" s="62"/>
      <c r="H26" s="62"/>
      <c r="I26" s="62"/>
      <c r="J26" s="62"/>
      <c r="K26" s="62"/>
      <c r="L26" s="62"/>
      <c r="M26" s="62"/>
      <c r="N26" s="62"/>
      <c r="O26" s="62"/>
      <c r="P26" s="62"/>
      <c r="Q26" s="62"/>
      <c r="R26" s="62"/>
      <c r="S26" s="62"/>
      <c r="T26" s="62"/>
      <c r="U26" s="62"/>
      <c r="V26" s="62"/>
      <c r="W26" s="63"/>
    </row>
  </sheetData>
  <mergeCells count="51">
    <mergeCell ref="A1:W1"/>
    <mergeCell ref="B3:W3"/>
    <mergeCell ref="B5:W5"/>
    <mergeCell ref="V7:V9"/>
    <mergeCell ref="W7:W9"/>
    <mergeCell ref="R8:R9"/>
    <mergeCell ref="A4:U4"/>
    <mergeCell ref="T7:T9"/>
    <mergeCell ref="U7:U9"/>
    <mergeCell ref="M8:M9"/>
    <mergeCell ref="N8:N9"/>
    <mergeCell ref="O8:O9"/>
    <mergeCell ref="P8:P9"/>
    <mergeCell ref="Q8:Q9"/>
    <mergeCell ref="S7:S9"/>
    <mergeCell ref="G7:R7"/>
    <mergeCell ref="C23:C25"/>
    <mergeCell ref="D23:D25"/>
    <mergeCell ref="E23:E25"/>
    <mergeCell ref="C19:C22"/>
    <mergeCell ref="D19:D22"/>
    <mergeCell ref="E19:E22"/>
    <mergeCell ref="F26:W26"/>
    <mergeCell ref="A12:A15"/>
    <mergeCell ref="B16:B25"/>
    <mergeCell ref="A16:A25"/>
    <mergeCell ref="A6:S6"/>
    <mergeCell ref="A7:A9"/>
    <mergeCell ref="B7:B9"/>
    <mergeCell ref="C7:C9"/>
    <mergeCell ref="C16:C17"/>
    <mergeCell ref="D16:D17"/>
    <mergeCell ref="E16:E17"/>
    <mergeCell ref="F7:F9"/>
    <mergeCell ref="I8:I9"/>
    <mergeCell ref="J8:J9"/>
    <mergeCell ref="K8:K9"/>
    <mergeCell ref="L8:L9"/>
    <mergeCell ref="G8:G9"/>
    <mergeCell ref="H8:H9"/>
    <mergeCell ref="B12:B15"/>
    <mergeCell ref="B10:B11"/>
    <mergeCell ref="A10:A11"/>
    <mergeCell ref="E7:E9"/>
    <mergeCell ref="D7:D9"/>
    <mergeCell ref="C10:C11"/>
    <mergeCell ref="D10:D11"/>
    <mergeCell ref="E10:E11"/>
    <mergeCell ref="C12:C13"/>
    <mergeCell ref="D12:D13"/>
    <mergeCell ref="E12:E13"/>
  </mergeCells>
  <pageMargins left="0.23622047244094491" right="0.23622047244094491" top="0.35433070866141736" bottom="0.35433070866141736"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1. OPTIMIZAR RECURSOS FINANCIER</vt:lpstr>
      <vt:lpstr>2. IMPACTAR LA SALUD DE LA POBL</vt:lpstr>
      <vt:lpstr>3. NUESTRO EQUIPO, COMPROMISO</vt:lpstr>
      <vt:lpstr>4. DESARROLLO ESTRATEGIAS ENTOR</vt:lpstr>
      <vt:lpstr>5. HUMANIZACIÓN DE LA ATENCIÓN </vt:lpstr>
      <vt:lpstr>6. GESTIÓN DE PROYECTOS</vt:lpstr>
      <vt:lpstr>'5. HUMANIZACIÓN DE LA ATENCIÓN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Gerencia</dc:creator>
  <cp:lastModifiedBy>HMERCED - Direccion Financiera01</cp:lastModifiedBy>
  <cp:lastPrinted>2023-01-23T20:01:24Z</cp:lastPrinted>
  <dcterms:created xsi:type="dcterms:W3CDTF">2018-01-18T20:57:15Z</dcterms:created>
  <dcterms:modified xsi:type="dcterms:W3CDTF">2025-10-20T21:30:00Z</dcterms:modified>
</cp:coreProperties>
</file>